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iorgiarivieccio/Desktop/BUSINESS DATA ANALYSIS/Materiale didattico/Lesson 4-5-6/"/>
    </mc:Choice>
  </mc:AlternateContent>
  <xr:revisionPtr revIDLastSave="0" documentId="13_ncr:1_{FE32E46E-0F11-2F4B-8E5F-0951741EE888}" xr6:coauthVersionLast="47" xr6:coauthVersionMax="47" xr10:uidLastSave="{00000000-0000-0000-0000-000000000000}"/>
  <bookViews>
    <workbookView xWindow="1240" yWindow="600" windowWidth="20480" windowHeight="13360" activeTab="1" xr2:uid="{BC4C8751-AFFC-5341-8F24-3AF23BAA05C1}"/>
  </bookViews>
  <sheets>
    <sheet name="Foglio1" sheetId="6" r:id="rId1"/>
    <sheet name="data" sheetId="1" r:id="rId2"/>
    <sheet name="Foglio4" sheetId="9" r:id="rId3"/>
    <sheet name="Foglio2" sheetId="7" r:id="rId4"/>
    <sheet name="Foglio3" sheetId="8" r:id="rId5"/>
    <sheet name="Adv" sheetId="5" r:id="rId6"/>
    <sheet name="Price" sheetId="4" r:id="rId7"/>
    <sheet name="output - both" sheetId="2" r:id="rId8"/>
    <sheet name="DW" sheetId="3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3" i="1"/>
  <c r="G3" i="1"/>
  <c r="G4" i="9"/>
  <c r="G3" i="9"/>
  <c r="G2" i="9"/>
  <c r="C10" i="9"/>
  <c r="D2" i="8"/>
  <c r="B8" i="8"/>
  <c r="F2" i="8"/>
  <c r="F4" i="8"/>
  <c r="F5" i="8"/>
  <c r="F6" i="8"/>
  <c r="F7" i="8"/>
  <c r="E3" i="8"/>
  <c r="E4" i="8"/>
  <c r="E5" i="8"/>
  <c r="E6" i="8"/>
  <c r="E7" i="8"/>
  <c r="E2" i="8"/>
  <c r="D3" i="8"/>
  <c r="F3" i="8" s="1"/>
  <c r="D4" i="8"/>
  <c r="D5" i="8"/>
  <c r="D6" i="8"/>
  <c r="D7" i="8"/>
  <c r="C8" i="8"/>
  <c r="D9" i="8"/>
  <c r="G2" i="8"/>
  <c r="K2" i="8" s="1"/>
  <c r="C2" i="8"/>
  <c r="C7" i="8"/>
  <c r="C6" i="8"/>
  <c r="C5" i="8"/>
  <c r="C4" i="8"/>
  <c r="C3" i="8"/>
  <c r="C17" i="7"/>
  <c r="G5" i="1"/>
  <c r="G6" i="1"/>
  <c r="G7" i="1"/>
  <c r="G8" i="1"/>
  <c r="G12" i="1"/>
  <c r="G13" i="1"/>
  <c r="G14" i="1"/>
  <c r="G15" i="1"/>
  <c r="G16" i="1"/>
  <c r="E5" i="1"/>
  <c r="E6" i="1"/>
  <c r="E7" i="1"/>
  <c r="E8" i="1"/>
  <c r="E9" i="1"/>
  <c r="G9" i="1" s="1"/>
  <c r="E10" i="1"/>
  <c r="G10" i="1" s="1"/>
  <c r="E11" i="1"/>
  <c r="G11" i="1" s="1"/>
  <c r="E12" i="1"/>
  <c r="E13" i="1"/>
  <c r="E14" i="1"/>
  <c r="E15" i="1"/>
  <c r="E16" i="1"/>
  <c r="E17" i="1"/>
  <c r="G17" i="1" s="1"/>
  <c r="E4" i="1"/>
  <c r="G4" i="1" s="1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27" i="6"/>
  <c r="B26" i="6"/>
  <c r="E2" i="4"/>
  <c r="L16" i="4"/>
  <c r="J16" i="4"/>
  <c r="I16" i="4"/>
  <c r="D2" i="4"/>
  <c r="L1" i="5"/>
  <c r="K1" i="5"/>
  <c r="J1" i="5"/>
  <c r="F2" i="5"/>
  <c r="I18" i="4"/>
  <c r="F2" i="4"/>
  <c r="H2" i="3"/>
  <c r="F3" i="3"/>
  <c r="F4" i="3"/>
  <c r="F5" i="3"/>
  <c r="F16" i="3" s="1"/>
  <c r="F6" i="3"/>
  <c r="F7" i="3"/>
  <c r="F8" i="3"/>
  <c r="F9" i="3"/>
  <c r="F10" i="3"/>
  <c r="F11" i="3"/>
  <c r="F12" i="3"/>
  <c r="F13" i="3"/>
  <c r="F14" i="3"/>
  <c r="F15" i="3"/>
  <c r="F2" i="3"/>
  <c r="E4" i="3"/>
  <c r="E5" i="3"/>
  <c r="E6" i="3"/>
  <c r="E7" i="3"/>
  <c r="E8" i="3"/>
  <c r="E9" i="3"/>
  <c r="E10" i="3"/>
  <c r="E11" i="3"/>
  <c r="E12" i="3"/>
  <c r="E13" i="3"/>
  <c r="E14" i="3"/>
  <c r="E15" i="3"/>
  <c r="E3" i="3"/>
  <c r="E16" i="3" s="1"/>
  <c r="I3" i="3" s="1"/>
  <c r="E2" i="3"/>
  <c r="E5" i="2"/>
  <c r="F4" i="2" s="1"/>
  <c r="E4" i="2"/>
  <c r="D17" i="2"/>
  <c r="E12" i="2"/>
  <c r="D13" i="2"/>
  <c r="D12" i="2"/>
  <c r="K12" i="1"/>
  <c r="K11" i="1"/>
  <c r="C20" i="1"/>
  <c r="C21" i="1" s="1"/>
  <c r="F8" i="8" l="1"/>
</calcChain>
</file>

<file path=xl/sharedStrings.xml><?xml version="1.0" encoding="utf-8"?>
<sst xmlns="http://schemas.openxmlformats.org/spreadsheetml/2006/main" count="186" uniqueCount="149">
  <si>
    <t>Week</t>
  </si>
  <si>
    <t>Price</t>
  </si>
  <si>
    <t>Advertising</t>
  </si>
  <si>
    <r>
      <t>R</t>
    </r>
    <r>
      <rPr>
        <b/>
        <vertAlign val="superscript"/>
        <sz val="14"/>
        <color rgb="FF3333CC"/>
        <rFont val="Tahoma"/>
        <family val="2"/>
      </rPr>
      <t>2</t>
    </r>
    <r>
      <rPr>
        <b/>
        <sz val="14"/>
        <color rgb="FF3333CC"/>
        <rFont val="Tahoma"/>
        <family val="2"/>
      </rPr>
      <t>1</t>
    </r>
  </si>
  <si>
    <t>Price = f(Advertising)</t>
  </si>
  <si>
    <t>price= B0+B1*advertising</t>
  </si>
  <si>
    <t>Pie Sales Y</t>
  </si>
  <si>
    <t>VIF=</t>
  </si>
  <si>
    <t>r</t>
  </si>
  <si>
    <t>R2</t>
  </si>
  <si>
    <r>
      <t>R</t>
    </r>
    <r>
      <rPr>
        <b/>
        <vertAlign val="superscript"/>
        <sz val="14"/>
        <color rgb="FF3333CC"/>
        <rFont val="Tahoma"/>
        <family val="2"/>
      </rPr>
      <t>2</t>
    </r>
    <r>
      <rPr>
        <b/>
        <sz val="14"/>
        <color rgb="FF3333CC"/>
        <rFont val="Tahoma"/>
        <family val="2"/>
      </rPr>
      <t>2</t>
    </r>
  </si>
  <si>
    <t>Advertising = f(Price)</t>
  </si>
  <si>
    <t>adv= B00+B11*price</t>
  </si>
  <si>
    <r>
      <t>1/(1-R1</t>
    </r>
    <r>
      <rPr>
        <b/>
        <vertAlign val="superscript"/>
        <sz val="14"/>
        <color rgb="FF3333CC"/>
        <rFont val="Tahoma"/>
        <family val="2"/>
      </rPr>
      <t>2</t>
    </r>
    <r>
      <rPr>
        <b/>
        <sz val="14"/>
        <color rgb="FF3333CC"/>
        <rFont val="Tahoma"/>
        <family val="2"/>
      </rPr>
      <t>)</t>
    </r>
  </si>
  <si>
    <r>
      <t>1/(1-R2</t>
    </r>
    <r>
      <rPr>
        <b/>
        <vertAlign val="superscript"/>
        <sz val="14"/>
        <color rgb="FF3333CC"/>
        <rFont val="Tahoma"/>
        <family val="2"/>
      </rPr>
      <t>2</t>
    </r>
    <r>
      <rPr>
        <b/>
        <sz val="14"/>
        <color rgb="FF3333CC"/>
        <rFont val="Tahoma"/>
        <family val="2"/>
      </rPr>
      <t>)</t>
    </r>
  </si>
  <si>
    <t>log(Y)=log(a*b1x1*b2X2)</t>
  </si>
  <si>
    <t>log(Y)=log(a)+b1*log(x1)+b2*log(X2)</t>
  </si>
  <si>
    <t>OUTPUT RIEPILOGO</t>
  </si>
  <si>
    <t>Statistica della regressione</t>
  </si>
  <si>
    <t>SQ</t>
  </si>
  <si>
    <t>MQ</t>
  </si>
  <si>
    <t>F</t>
  </si>
  <si>
    <t>Stat t</t>
  </si>
  <si>
    <t>OUTPUT RESIDUI</t>
  </si>
  <si>
    <t>OUTPUT DATI</t>
  </si>
  <si>
    <t>R adjusted</t>
  </si>
  <si>
    <t>Standard error</t>
  </si>
  <si>
    <t>Sample size</t>
  </si>
  <si>
    <t>square R</t>
  </si>
  <si>
    <t>multiple R</t>
  </si>
  <si>
    <t>anova</t>
  </si>
  <si>
    <t>regression</t>
  </si>
  <si>
    <t>Residual</t>
  </si>
  <si>
    <t>Total</t>
  </si>
  <si>
    <t>dof</t>
  </si>
  <si>
    <t>n-1</t>
  </si>
  <si>
    <t>n-k (param)</t>
  </si>
  <si>
    <t>k-1</t>
  </si>
  <si>
    <t>Coefficients</t>
  </si>
  <si>
    <t>St errors</t>
  </si>
  <si>
    <t>lower than 0,05</t>
  </si>
  <si>
    <t>H0: nullity of each coefficient</t>
  </si>
  <si>
    <t>ei-1</t>
  </si>
  <si>
    <t>ei</t>
  </si>
  <si>
    <t>e2</t>
  </si>
  <si>
    <t>e1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</si>
  <si>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</si>
  <si>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</si>
  <si>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</si>
  <si>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</si>
  <si>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</si>
  <si>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</si>
  <si>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</si>
  <si>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</si>
  <si>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</si>
  <si>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</si>
  <si>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</si>
  <si>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</si>
  <si>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</si>
  <si>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D=</t>
  </si>
  <si>
    <t>(ei-ei-1)^2</t>
  </si>
  <si>
    <t>ei^2</t>
  </si>
  <si>
    <t>no correlation between ei and ei-1</t>
  </si>
  <si>
    <t>r=</t>
  </si>
  <si>
    <t>Pvalue (Sig)</t>
  </si>
  <si>
    <t>Sig</t>
  </si>
  <si>
    <t>If price increases of 1 dollar, then</t>
  </si>
  <si>
    <t>pie sales would reduce in average about 25 units</t>
  </si>
  <si>
    <t>Constant</t>
  </si>
  <si>
    <t>Predicted Pie Sales Y</t>
  </si>
  <si>
    <t>Obs</t>
  </si>
  <si>
    <t>Residuals (ei)</t>
  </si>
  <si>
    <t>St. residuals</t>
  </si>
  <si>
    <t>Percentil</t>
  </si>
  <si>
    <t>y = -24,034x + 558,28</t>
  </si>
  <si>
    <t>pie sales</t>
  </si>
  <si>
    <t>x=7</t>
  </si>
  <si>
    <t>pie sales=306,53-24,97*price+74,13*adv</t>
  </si>
  <si>
    <t>y=b0+b1*x1+b2*x2</t>
  </si>
  <si>
    <t>goodness of fit</t>
  </si>
  <si>
    <t>52% of variabiability of pie sales is well explained by price and adv movements</t>
  </si>
  <si>
    <t>y=b0+b1*Price+b2*Adv</t>
  </si>
  <si>
    <t>Errore standard</t>
  </si>
  <si>
    <t>ANALISI VARIANZA</t>
  </si>
  <si>
    <t>Regressione</t>
  </si>
  <si>
    <t>Residuo</t>
  </si>
  <si>
    <t>Totale</t>
  </si>
  <si>
    <t>gdl</t>
  </si>
  <si>
    <t>Coefficienti</t>
  </si>
  <si>
    <t>Inferiore 95%</t>
  </si>
  <si>
    <t>Superiore 95%</t>
  </si>
  <si>
    <t>Inferiore 95,0%</t>
  </si>
  <si>
    <t>Superiore 95,0%</t>
  </si>
  <si>
    <t>Osservazione</t>
  </si>
  <si>
    <t>Residui standard</t>
  </si>
  <si>
    <t>Percentile</t>
  </si>
  <si>
    <t>adjusted R square</t>
  </si>
  <si>
    <t>R Square</t>
  </si>
  <si>
    <t>ST error</t>
  </si>
  <si>
    <t>Sign=P.value</t>
  </si>
  <si>
    <t>H0: b1=b2=b0=0</t>
  </si>
  <si>
    <t>H1: at least one of these coefficients is different from zero</t>
  </si>
  <si>
    <t>then, you have to reject the null hypothesis</t>
  </si>
  <si>
    <t>significance=pvalue</t>
  </si>
  <si>
    <t>H0:constant=0</t>
  </si>
  <si>
    <t>H0: b1=0</t>
  </si>
  <si>
    <t>H0: b2=0</t>
  </si>
  <si>
    <t>overall goodness of fit of the model</t>
  </si>
  <si>
    <t>Residuals</t>
  </si>
  <si>
    <t>Forecast for Y</t>
  </si>
  <si>
    <t>y*=306-24,98*Price+74,131*Adv</t>
  </si>
  <si>
    <t>residuals</t>
  </si>
  <si>
    <t>Pie sale predicted</t>
  </si>
  <si>
    <t>Price (X)</t>
  </si>
  <si>
    <t>1 WEEK</t>
  </si>
  <si>
    <t>2 WEEK</t>
  </si>
  <si>
    <t>3 WEEK</t>
  </si>
  <si>
    <t>4 WEEK</t>
  </si>
  <si>
    <t>5 WEEK</t>
  </si>
  <si>
    <t>6 WEEK</t>
  </si>
  <si>
    <t>7 WEEK</t>
  </si>
  <si>
    <t>8 WEEK</t>
  </si>
  <si>
    <t>9 WEEK</t>
  </si>
  <si>
    <t>10 WEEK</t>
  </si>
  <si>
    <t>11 WEEK</t>
  </si>
  <si>
    <t>12 WEEK</t>
  </si>
  <si>
    <t>13 WEEK</t>
  </si>
  <si>
    <t>14 WEEK</t>
  </si>
  <si>
    <t>15 WEEK</t>
  </si>
  <si>
    <t>16 WEEK</t>
  </si>
  <si>
    <t>Y</t>
  </si>
  <si>
    <t>X</t>
  </si>
  <si>
    <t>CORRELATION COEFFICIENT</t>
  </si>
  <si>
    <t>Bravais Pearson</t>
  </si>
  <si>
    <t>LINEAR CORR COEFFICIENT*</t>
  </si>
  <si>
    <r>
      <t>R</t>
    </r>
    <r>
      <rPr>
        <vertAlign val="superscript"/>
        <sz val="30"/>
        <color theme="1"/>
        <rFont val="Calibri (Corpo)"/>
      </rPr>
      <t>2</t>
    </r>
  </si>
  <si>
    <t>negative perfect relationship</t>
  </si>
  <si>
    <t>positive perfect relationship</t>
  </si>
  <si>
    <t>x-m</t>
  </si>
  <si>
    <t>y-m</t>
  </si>
  <si>
    <t>product</t>
  </si>
  <si>
    <t>covariance</t>
  </si>
  <si>
    <t>Advertising (X2)</t>
  </si>
  <si>
    <t>Price (X1)</t>
  </si>
  <si>
    <t>weight (Kg)</t>
  </si>
  <si>
    <t>error</t>
  </si>
  <si>
    <t>Probability</t>
  </si>
  <si>
    <t>random variable</t>
  </si>
  <si>
    <t>Probabilities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</si>
</sst>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00"/>
    <numFmt numFmtId="166" formatCode="0.0000"/>
  </numFmts>
  <fonts count="15" x14ac:knownFonts="1">
    <font>
      <sz val="12"/>
      <color theme="1"/>
      <name val="Calibri"/>
      <family val="2"/>
      <scheme val="minor"/>
    </font>
    <font>
      <b/>
      <sz val="14"/>
      <color rgb="FF3333CC"/>
      <name val="Tahoma"/>
      <family val="2"/>
    </font>
    <font>
      <b/>
      <vertAlign val="superscript"/>
      <sz val="14"/>
      <color rgb="FF3333CC"/>
      <name val="Tahoma"/>
      <family val="2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4"/>
      <color rgb="FFFF0000"/>
      <name val="Tahoma"/>
      <family val="2"/>
    </font>
    <font>
      <sz val="30"/>
      <color theme="1"/>
      <name val="Calibri"/>
      <family val="2"/>
      <scheme val="minor"/>
    </font>
    <font>
      <vertAlign val="superscript"/>
      <sz val="30"/>
      <color theme="1"/>
      <name val="Calibri (Corpo)"/>
    </font>
    <font>
      <sz val="3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ck">
        <color rgb="FF3333CC"/>
      </left>
      <right style="medium">
        <color rgb="FF3333CC"/>
      </right>
      <top style="thick">
        <color rgb="FF3333CC"/>
      </top>
      <bottom/>
      <diagonal/>
    </border>
    <border>
      <left style="thick">
        <color rgb="FF3333CC"/>
      </left>
      <right style="medium">
        <color rgb="FF3333CC"/>
      </right>
      <top/>
      <bottom style="medium">
        <color rgb="FF3333CC"/>
      </bottom>
      <diagonal/>
    </border>
    <border>
      <left style="medium">
        <color rgb="FF3333CC"/>
      </left>
      <right style="medium">
        <color rgb="FF3333CC"/>
      </right>
      <top style="thick">
        <color rgb="FF3333CC"/>
      </top>
      <bottom/>
      <diagonal/>
    </border>
    <border>
      <left style="medium">
        <color rgb="FF3333CC"/>
      </left>
      <right style="thick">
        <color rgb="FF3333CC"/>
      </right>
      <top style="thick">
        <color rgb="FF3333CC"/>
      </top>
      <bottom/>
      <diagonal/>
    </border>
    <border>
      <left style="thick">
        <color rgb="FF3333CC"/>
      </left>
      <right style="medium">
        <color rgb="FF3333CC"/>
      </right>
      <top style="medium">
        <color rgb="FF3333CC"/>
      </top>
      <bottom/>
      <diagonal/>
    </border>
    <border>
      <left style="medium">
        <color rgb="FF3333CC"/>
      </left>
      <right style="medium">
        <color rgb="FF3333CC"/>
      </right>
      <top style="medium">
        <color rgb="FF3333CC"/>
      </top>
      <bottom/>
      <diagonal/>
    </border>
    <border>
      <left style="medium">
        <color rgb="FF3333CC"/>
      </left>
      <right style="thick">
        <color rgb="FF3333CC"/>
      </right>
      <top style="medium">
        <color rgb="FF3333CC"/>
      </top>
      <bottom/>
      <diagonal/>
    </border>
    <border>
      <left style="thick">
        <color rgb="FF3333CC"/>
      </left>
      <right style="medium">
        <color rgb="FF3333CC"/>
      </right>
      <top/>
      <bottom/>
      <diagonal/>
    </border>
    <border>
      <left style="medium">
        <color rgb="FF3333CC"/>
      </left>
      <right style="medium">
        <color rgb="FF3333CC"/>
      </right>
      <top/>
      <bottom/>
      <diagonal/>
    </border>
    <border>
      <left style="medium">
        <color rgb="FF3333CC"/>
      </left>
      <right style="thick">
        <color rgb="FF3333CC"/>
      </right>
      <top/>
      <bottom/>
      <diagonal/>
    </border>
    <border>
      <left style="thick">
        <color rgb="FF3333CC"/>
      </left>
      <right style="medium">
        <color rgb="FF3333CC"/>
      </right>
      <top/>
      <bottom style="thick">
        <color rgb="FF3333CC"/>
      </bottom>
      <diagonal/>
    </border>
    <border>
      <left style="medium">
        <color rgb="FF3333CC"/>
      </left>
      <right style="medium">
        <color rgb="FF3333CC"/>
      </right>
      <top/>
      <bottom style="thick">
        <color rgb="FF3333CC"/>
      </bottom>
      <diagonal/>
    </border>
    <border>
      <left style="medium">
        <color rgb="FF3333CC"/>
      </left>
      <right style="thick">
        <color rgb="FF3333CC"/>
      </right>
      <top/>
      <bottom style="thick">
        <color rgb="FF3333CC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3333CC"/>
      </left>
      <right/>
      <top style="medium">
        <color rgb="FF3333CC"/>
      </top>
      <bottom/>
      <diagonal/>
    </border>
    <border>
      <left style="medium">
        <color rgb="FF3333CC"/>
      </left>
      <right/>
      <top/>
      <bottom/>
      <diagonal/>
    </border>
    <border>
      <left style="medium">
        <color rgb="FF3333CC"/>
      </left>
      <right/>
      <top/>
      <bottom style="thick">
        <color rgb="FF3333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60">
    <xf numFmtId="0" fontId="0" fillId="0" borderId="0" xfId="0"/>
    <xf numFmtId="0" fontId="1" fillId="2" borderId="3" xfId="0" applyFont="1" applyFill="1" applyBorder="1" applyAlignment="1">
      <alignment horizontal="center" wrapText="1" readingOrder="1"/>
    </xf>
    <xf numFmtId="0" fontId="1" fillId="2" borderId="4" xfId="0" applyFont="1" applyFill="1" applyBorder="1" applyAlignment="1">
      <alignment horizontal="center" wrapText="1" readingOrder="1"/>
    </xf>
    <xf numFmtId="0" fontId="0" fillId="2" borderId="0" xfId="0" applyFill="1"/>
    <xf numFmtId="0" fontId="1" fillId="2" borderId="5" xfId="0" applyFont="1" applyFill="1" applyBorder="1" applyAlignment="1">
      <alignment horizontal="center" wrapText="1" readingOrder="1"/>
    </xf>
    <xf numFmtId="0" fontId="1" fillId="2" borderId="6" xfId="0" applyFont="1" applyFill="1" applyBorder="1" applyAlignment="1">
      <alignment horizontal="center" wrapText="1" readingOrder="1"/>
    </xf>
    <xf numFmtId="0" fontId="1" fillId="2" borderId="7" xfId="0" applyFont="1" applyFill="1" applyBorder="1" applyAlignment="1">
      <alignment horizontal="center" wrapText="1" readingOrder="1"/>
    </xf>
    <xf numFmtId="0" fontId="1" fillId="2" borderId="8" xfId="0" applyFont="1" applyFill="1" applyBorder="1" applyAlignment="1">
      <alignment horizontal="center" wrapText="1" readingOrder="1"/>
    </xf>
    <xf numFmtId="0" fontId="1" fillId="2" borderId="9" xfId="0" applyFont="1" applyFill="1" applyBorder="1" applyAlignment="1">
      <alignment horizontal="center" wrapText="1" readingOrder="1"/>
    </xf>
    <xf numFmtId="0" fontId="1" fillId="2" borderId="10" xfId="0" applyFont="1" applyFill="1" applyBorder="1" applyAlignment="1">
      <alignment horizontal="center" wrapText="1" readingOrder="1"/>
    </xf>
    <xf numFmtId="0" fontId="1" fillId="2" borderId="11" xfId="0" applyFont="1" applyFill="1" applyBorder="1" applyAlignment="1">
      <alignment horizontal="center" wrapText="1" readingOrder="1"/>
    </xf>
    <xf numFmtId="0" fontId="1" fillId="2" borderId="12" xfId="0" applyFont="1" applyFill="1" applyBorder="1" applyAlignment="1">
      <alignment horizontal="center" wrapText="1" readingOrder="1"/>
    </xf>
    <xf numFmtId="0" fontId="1" fillId="2" borderId="13" xfId="0" applyFont="1" applyFill="1" applyBorder="1" applyAlignment="1">
      <alignment horizontal="center" wrapText="1" readingOrder="1"/>
    </xf>
    <xf numFmtId="165" fontId="1" fillId="2" borderId="10" xfId="0" applyNumberFormat="1" applyFont="1" applyFill="1" applyBorder="1" applyAlignment="1">
      <alignment horizontal="center" wrapText="1" readingOrder="1"/>
    </xf>
    <xf numFmtId="0" fontId="1" fillId="2" borderId="3" xfId="0" applyFont="1" applyFill="1" applyBorder="1" applyAlignment="1">
      <alignment wrapText="1" readingOrder="1"/>
    </xf>
    <xf numFmtId="0" fontId="4" fillId="0" borderId="0" xfId="0" applyFont="1"/>
    <xf numFmtId="0" fontId="5" fillId="0" borderId="15" xfId="0" applyFont="1" applyBorder="1" applyAlignment="1">
      <alignment horizontal="centerContinuous"/>
    </xf>
    <xf numFmtId="0" fontId="4" fillId="0" borderId="14" xfId="0" applyFont="1" applyBorder="1"/>
    <xf numFmtId="0" fontId="5" fillId="0" borderId="15" xfId="0" applyFont="1" applyBorder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0" fillId="3" borderId="0" xfId="0" applyFill="1"/>
    <xf numFmtId="165" fontId="0" fillId="0" borderId="0" xfId="0" applyNumberFormat="1"/>
    <xf numFmtId="0" fontId="0" fillId="0" borderId="0" xfId="0" applyAlignment="1">
      <alignment horizontal="right"/>
    </xf>
    <xf numFmtId="1" fontId="7" fillId="0" borderId="0" xfId="0" applyNumberFormat="1" applyFont="1"/>
    <xf numFmtId="1" fontId="0" fillId="0" borderId="0" xfId="0" applyNumberFormat="1"/>
    <xf numFmtId="166" fontId="0" fillId="0" borderId="0" xfId="0" applyNumberFormat="1"/>
    <xf numFmtId="0" fontId="4" fillId="3" borderId="0" xfId="0" applyFont="1" applyFill="1"/>
    <xf numFmtId="164" fontId="4" fillId="3" borderId="0" xfId="0" applyNumberFormat="1" applyFont="1" applyFill="1"/>
    <xf numFmtId="0" fontId="4" fillId="3" borderId="14" xfId="0" applyFont="1" applyFill="1" applyBorder="1"/>
    <xf numFmtId="0" fontId="4" fillId="2" borderId="0" xfId="0" applyFont="1" applyFill="1"/>
    <xf numFmtId="0" fontId="7" fillId="0" borderId="0" xfId="0" applyFont="1"/>
    <xf numFmtId="0" fontId="9" fillId="0" borderId="15" xfId="0" applyFont="1" applyBorder="1" applyAlignment="1">
      <alignment horizontal="centerContinuous"/>
    </xf>
    <xf numFmtId="0" fontId="7" fillId="0" borderId="14" xfId="0" applyFont="1" applyBorder="1"/>
    <xf numFmtId="0" fontId="9" fillId="0" borderId="15" xfId="0" applyFont="1" applyBorder="1" applyAlignment="1">
      <alignment horizontal="center"/>
    </xf>
    <xf numFmtId="0" fontId="10" fillId="0" borderId="0" xfId="0" applyFont="1"/>
    <xf numFmtId="0" fontId="1" fillId="2" borderId="0" xfId="0" applyFont="1" applyFill="1" applyAlignment="1">
      <alignment horizontal="center" wrapText="1" readingOrder="1"/>
    </xf>
    <xf numFmtId="0" fontId="11" fillId="2" borderId="3" xfId="0" applyFont="1" applyFill="1" applyBorder="1" applyAlignment="1">
      <alignment wrapText="1" readingOrder="1"/>
    </xf>
    <xf numFmtId="0" fontId="11" fillId="2" borderId="6" xfId="0" applyFont="1" applyFill="1" applyBorder="1" applyAlignment="1">
      <alignment horizontal="center" wrapText="1" readingOrder="1"/>
    </xf>
    <xf numFmtId="0" fontId="11" fillId="2" borderId="9" xfId="0" applyFont="1" applyFill="1" applyBorder="1" applyAlignment="1">
      <alignment horizontal="center" wrapText="1" readingOrder="1"/>
    </xf>
    <xf numFmtId="0" fontId="11" fillId="2" borderId="12" xfId="0" applyFont="1" applyFill="1" applyBorder="1" applyAlignment="1">
      <alignment horizontal="center" wrapText="1" readingOrder="1"/>
    </xf>
    <xf numFmtId="0" fontId="0" fillId="2" borderId="0" xfId="0" applyFill="1" applyAlignment="1">
      <alignment horizontal="center"/>
    </xf>
    <xf numFmtId="0" fontId="1" fillId="2" borderId="16" xfId="0" applyFont="1" applyFill="1" applyBorder="1" applyAlignment="1">
      <alignment horizontal="center" wrapText="1" readingOrder="1"/>
    </xf>
    <xf numFmtId="0" fontId="1" fillId="2" borderId="17" xfId="0" applyFont="1" applyFill="1" applyBorder="1" applyAlignment="1">
      <alignment horizontal="center" wrapText="1" readingOrder="1"/>
    </xf>
    <xf numFmtId="0" fontId="1" fillId="2" borderId="18" xfId="0" applyFont="1" applyFill="1" applyBorder="1" applyAlignment="1">
      <alignment horizontal="center" wrapText="1" readingOrder="1"/>
    </xf>
    <xf numFmtId="0" fontId="1" fillId="2" borderId="19" xfId="0" applyFont="1" applyFill="1" applyBorder="1" applyAlignment="1">
      <alignment horizontal="center" wrapText="1" readingOrder="1"/>
    </xf>
    <xf numFmtId="0" fontId="1" fillId="2" borderId="20" xfId="0" applyFont="1" applyFill="1" applyBorder="1" applyAlignment="1">
      <alignment horizontal="center" wrapText="1" readingOrder="1"/>
    </xf>
    <xf numFmtId="0" fontId="1" fillId="2" borderId="21" xfId="0" applyFont="1" applyFill="1" applyBorder="1" applyAlignment="1">
      <alignment horizontal="center" wrapText="1" readingOrder="1"/>
    </xf>
    <xf numFmtId="0" fontId="1" fillId="3" borderId="9" xfId="0" applyFont="1" applyFill="1" applyBorder="1" applyAlignment="1">
      <alignment horizontal="center" wrapText="1" readingOrder="1"/>
    </xf>
    <xf numFmtId="0" fontId="11" fillId="3" borderId="12" xfId="0" applyFont="1" applyFill="1" applyBorder="1" applyAlignment="1">
      <alignment horizontal="center" wrapText="1" readingOrder="1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3" borderId="0" xfId="0" applyFont="1" applyFill="1" applyAlignment="1">
      <alignment horizontal="center"/>
    </xf>
    <xf numFmtId="0" fontId="14" fillId="0" borderId="0" xfId="0" applyFont="1"/>
    <xf numFmtId="1" fontId="14" fillId="0" borderId="0" xfId="0" applyNumberFormat="1" applyFont="1"/>
    <xf numFmtId="2" fontId="7" fillId="0" borderId="0" xfId="1" applyNumberFormat="1" applyFont="1" applyFill="1" applyBorder="1" applyAlignment="1"/>
    <xf numFmtId="0" fontId="1" fillId="2" borderId="1" xfId="0" applyFont="1" applyFill="1" applyBorder="1" applyAlignment="1">
      <alignment horizontal="center" wrapText="1" readingOrder="1"/>
    </xf>
    <xf numFmtId="0" fontId="1" fillId="2" borderId="2" xfId="0" applyFont="1" applyFill="1" applyBorder="1" applyAlignment="1">
      <alignment horizontal="center" wrapText="1" readingOrder="1"/>
    </xf>
    <xf numFmtId="0" fontId="11" fillId="2" borderId="19" xfId="0" applyFont="1" applyFill="1" applyBorder="1" applyAlignment="1">
      <alignment horizontal="center" wrapText="1" readingOrder="1"/>
    </xf>
    <xf numFmtId="0" fontId="1" fillId="2" borderId="0" xfId="0" applyFont="1" applyFill="1" applyBorder="1" applyAlignment="1">
      <alignment horizontal="center" wrapText="1" readingOrder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Price Tracciato dei residui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data!$C$3:$C$17</c:f>
              <c:numCache>
                <c:formatCode>General</c:formatCode>
                <c:ptCount val="15"/>
                <c:pt idx="0">
                  <c:v>4</c:v>
                </c:pt>
                <c:pt idx="1">
                  <c:v>7.5</c:v>
                </c:pt>
                <c:pt idx="2">
                  <c:v>8</c:v>
                </c:pt>
                <c:pt idx="3">
                  <c:v>8</c:v>
                </c:pt>
                <c:pt idx="4">
                  <c:v>6.8</c:v>
                </c:pt>
                <c:pt idx="5">
                  <c:v>7.5</c:v>
                </c:pt>
                <c:pt idx="6">
                  <c:v>4.5</c:v>
                </c:pt>
                <c:pt idx="7">
                  <c:v>6.4</c:v>
                </c:pt>
                <c:pt idx="8">
                  <c:v>7</c:v>
                </c:pt>
                <c:pt idx="9">
                  <c:v>5</c:v>
                </c:pt>
                <c:pt idx="10">
                  <c:v>7.2</c:v>
                </c:pt>
                <c:pt idx="11">
                  <c:v>7.9</c:v>
                </c:pt>
                <c:pt idx="12">
                  <c:v>5.9</c:v>
                </c:pt>
                <c:pt idx="13">
                  <c:v>5</c:v>
                </c:pt>
                <c:pt idx="14">
                  <c:v>7</c:v>
                </c:pt>
              </c:numCache>
            </c:numRef>
          </c:xVal>
          <c:yVal>
            <c:numRef>
              <c:f>Foglio1!$C$26:$C$40</c:f>
              <c:numCache>
                <c:formatCode>General</c:formatCode>
                <c:ptCount val="15"/>
                <c:pt idx="0">
                  <c:v>-63.795360648540623</c:v>
                </c:pt>
                <c:pt idx="1">
                  <c:v>96.15481838711321</c:v>
                </c:pt>
                <c:pt idx="2">
                  <c:v>20.881650392649021</c:v>
                </c:pt>
                <c:pt idx="3">
                  <c:v>-10.314785840462434</c:v>
                </c:pt>
                <c:pt idx="4">
                  <c:v>-9.0884570287433348</c:v>
                </c:pt>
                <c:pt idx="5">
                  <c:v>-35.736851855005455</c:v>
                </c:pt>
                <c:pt idx="6">
                  <c:v>13.46883708025473</c:v>
                </c:pt>
                <c:pt idx="7">
                  <c:v>49.029836922007235</c:v>
                </c:pt>
                <c:pt idx="8">
                  <c:v>58.841082130451582</c:v>
                </c:pt>
                <c:pt idx="9">
                  <c:v>11.82542435042717</c:v>
                </c:pt>
                <c:pt idx="10">
                  <c:v>-46.163899965983092</c:v>
                </c:pt>
                <c:pt idx="11">
                  <c:v>-46.442050056881897</c:v>
                </c:pt>
                <c:pt idx="12">
                  <c:v>-15.696995083528577</c:v>
                </c:pt>
                <c:pt idx="13">
                  <c:v>8.8909030947976362</c:v>
                </c:pt>
                <c:pt idx="14">
                  <c:v>-31.854151878555683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339-1246-94FC-30D89C9C2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6851728"/>
        <c:axId val="776853376"/>
      </c:scatterChart>
      <c:valAx>
        <c:axId val="776851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Price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76853376"/>
        <c:crosses val="autoZero"/>
        <c:crossBetween val="midCat"/>
      </c:valAx>
      <c:valAx>
        <c:axId val="7768533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Residui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76851728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Price Tracciato delle approssimazioni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Pie Sales Y</c:v>
          </c:tx>
          <c:spPr>
            <a:ln w="19050">
              <a:noFill/>
            </a:ln>
          </c:spPr>
          <c:xVal>
            <c:numRef>
              <c:f>data!$C$3:$C$17</c:f>
              <c:numCache>
                <c:formatCode>General</c:formatCode>
                <c:ptCount val="15"/>
                <c:pt idx="0">
                  <c:v>4</c:v>
                </c:pt>
                <c:pt idx="1">
                  <c:v>7.5</c:v>
                </c:pt>
                <c:pt idx="2">
                  <c:v>8</c:v>
                </c:pt>
                <c:pt idx="3">
                  <c:v>8</c:v>
                </c:pt>
                <c:pt idx="4">
                  <c:v>6.8</c:v>
                </c:pt>
                <c:pt idx="5">
                  <c:v>7.5</c:v>
                </c:pt>
                <c:pt idx="6">
                  <c:v>4.5</c:v>
                </c:pt>
                <c:pt idx="7">
                  <c:v>6.4</c:v>
                </c:pt>
                <c:pt idx="8">
                  <c:v>7</c:v>
                </c:pt>
                <c:pt idx="9">
                  <c:v>5</c:v>
                </c:pt>
                <c:pt idx="10">
                  <c:v>7.2</c:v>
                </c:pt>
                <c:pt idx="11">
                  <c:v>7.9</c:v>
                </c:pt>
                <c:pt idx="12">
                  <c:v>5.9</c:v>
                </c:pt>
                <c:pt idx="13">
                  <c:v>5</c:v>
                </c:pt>
                <c:pt idx="14">
                  <c:v>7</c:v>
                </c:pt>
              </c:numCache>
            </c:numRef>
          </c:xVal>
          <c:yVal>
            <c:numRef>
              <c:f>data!$B$3:$B$17</c:f>
              <c:numCache>
                <c:formatCode>General</c:formatCode>
                <c:ptCount val="15"/>
                <c:pt idx="0">
                  <c:v>350</c:v>
                </c:pt>
                <c:pt idx="1">
                  <c:v>460</c:v>
                </c:pt>
                <c:pt idx="2">
                  <c:v>350</c:v>
                </c:pt>
                <c:pt idx="3">
                  <c:v>430</c:v>
                </c:pt>
                <c:pt idx="4">
                  <c:v>350</c:v>
                </c:pt>
                <c:pt idx="5">
                  <c:v>380</c:v>
                </c:pt>
                <c:pt idx="6">
                  <c:v>430</c:v>
                </c:pt>
                <c:pt idx="7">
                  <c:v>470</c:v>
                </c:pt>
                <c:pt idx="8">
                  <c:v>450</c:v>
                </c:pt>
                <c:pt idx="9">
                  <c:v>490</c:v>
                </c:pt>
                <c:pt idx="10">
                  <c:v>340</c:v>
                </c:pt>
                <c:pt idx="11">
                  <c:v>300</c:v>
                </c:pt>
                <c:pt idx="12">
                  <c:v>440</c:v>
                </c:pt>
                <c:pt idx="13">
                  <c:v>450</c:v>
                </c:pt>
                <c:pt idx="14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A0A-9D4D-BC85-F13220D3FD30}"/>
            </c:ext>
          </c:extLst>
        </c:ser>
        <c:ser>
          <c:idx val="1"/>
          <c:order val="1"/>
          <c:tx>
            <c:v>Previsto Pie Sales Y</c:v>
          </c:tx>
          <c:spPr>
            <a:ln w="19050">
              <a:noFill/>
            </a:ln>
          </c:spPr>
          <c:xVal>
            <c:numRef>
              <c:f>data!$C$3:$C$17</c:f>
              <c:numCache>
                <c:formatCode>General</c:formatCode>
                <c:ptCount val="15"/>
                <c:pt idx="0">
                  <c:v>4</c:v>
                </c:pt>
                <c:pt idx="1">
                  <c:v>7.5</c:v>
                </c:pt>
                <c:pt idx="2">
                  <c:v>8</c:v>
                </c:pt>
                <c:pt idx="3">
                  <c:v>8</c:v>
                </c:pt>
                <c:pt idx="4">
                  <c:v>6.8</c:v>
                </c:pt>
                <c:pt idx="5">
                  <c:v>7.5</c:v>
                </c:pt>
                <c:pt idx="6">
                  <c:v>4.5</c:v>
                </c:pt>
                <c:pt idx="7">
                  <c:v>6.4</c:v>
                </c:pt>
                <c:pt idx="8">
                  <c:v>7</c:v>
                </c:pt>
                <c:pt idx="9">
                  <c:v>5</c:v>
                </c:pt>
                <c:pt idx="10">
                  <c:v>7.2</c:v>
                </c:pt>
                <c:pt idx="11">
                  <c:v>7.9</c:v>
                </c:pt>
                <c:pt idx="12">
                  <c:v>5.9</c:v>
                </c:pt>
                <c:pt idx="13">
                  <c:v>5</c:v>
                </c:pt>
                <c:pt idx="14">
                  <c:v>7</c:v>
                </c:pt>
              </c:numCache>
            </c:numRef>
          </c:xVal>
          <c:yVal>
            <c:numRef>
              <c:f>'output - both'!$B$26:$B$40</c:f>
              <c:numCache>
                <c:formatCode>General</c:formatCode>
                <c:ptCount val="15"/>
                <c:pt idx="0">
                  <c:v>413.79536064854062</c:v>
                </c:pt>
                <c:pt idx="1">
                  <c:v>363.84518161288679</c:v>
                </c:pt>
                <c:pt idx="2">
                  <c:v>329.11834960735098</c:v>
                </c:pt>
                <c:pt idx="3">
                  <c:v>440.31478584046243</c:v>
                </c:pt>
                <c:pt idx="4">
                  <c:v>359.08845702874333</c:v>
                </c:pt>
                <c:pt idx="5">
                  <c:v>415.73685185500545</c:v>
                </c:pt>
                <c:pt idx="6">
                  <c:v>416.53116291974527</c:v>
                </c:pt>
                <c:pt idx="7">
                  <c:v>420.97016307799277</c:v>
                </c:pt>
                <c:pt idx="8">
                  <c:v>391.15891786954842</c:v>
                </c:pt>
                <c:pt idx="9">
                  <c:v>478.17457564957283</c:v>
                </c:pt>
                <c:pt idx="10">
                  <c:v>386.16389996598309</c:v>
                </c:pt>
                <c:pt idx="11">
                  <c:v>346.4420500568819</c:v>
                </c:pt>
                <c:pt idx="12">
                  <c:v>455.69699508352858</c:v>
                </c:pt>
                <c:pt idx="13">
                  <c:v>441.10909690520236</c:v>
                </c:pt>
                <c:pt idx="14">
                  <c:v>331.85415187855568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A0A-9D4D-BC85-F13220D3F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9810704"/>
        <c:axId val="1669628896"/>
      </c:scatterChart>
      <c:valAx>
        <c:axId val="1669810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Price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69628896"/>
        <c:crosses val="autoZero"/>
        <c:crossBetween val="midCat"/>
      </c:valAx>
      <c:valAx>
        <c:axId val="16696288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Pie Sales 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69810704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Advertising Tracciato delle approssimazioni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Pie Sales Y</c:v>
          </c:tx>
          <c:spPr>
            <a:ln w="19050">
              <a:noFill/>
            </a:ln>
          </c:spPr>
          <c:xVal>
            <c:strRef>
              <c:f>'output - both'!$D$3:$D$17</c:f>
              <c:strCache>
                <c:ptCount val="15"/>
                <c:pt idx="2">
                  <c:v>52% of variabiability of pie sales is well explained by price and adv movements</c:v>
                </c:pt>
                <c:pt idx="8">
                  <c:v>MQ</c:v>
                </c:pt>
                <c:pt idx="9">
                  <c:v>14730,01343</c:v>
                </c:pt>
                <c:pt idx="10">
                  <c:v>2252,775539</c:v>
                </c:pt>
                <c:pt idx="13">
                  <c:v>Stat t</c:v>
                </c:pt>
                <c:pt idx="14">
                  <c:v>2,682851182</c:v>
                </c:pt>
              </c:strCache>
            </c:strRef>
          </c:xVal>
          <c:yVal>
            <c:numRef>
              <c:f>data!$B$3:$B$17</c:f>
              <c:numCache>
                <c:formatCode>General</c:formatCode>
                <c:ptCount val="15"/>
                <c:pt idx="0">
                  <c:v>350</c:v>
                </c:pt>
                <c:pt idx="1">
                  <c:v>460</c:v>
                </c:pt>
                <c:pt idx="2">
                  <c:v>350</c:v>
                </c:pt>
                <c:pt idx="3">
                  <c:v>430</c:v>
                </c:pt>
                <c:pt idx="4">
                  <c:v>350</c:v>
                </c:pt>
                <c:pt idx="5">
                  <c:v>380</c:v>
                </c:pt>
                <c:pt idx="6">
                  <c:v>430</c:v>
                </c:pt>
                <c:pt idx="7">
                  <c:v>470</c:v>
                </c:pt>
                <c:pt idx="8">
                  <c:v>450</c:v>
                </c:pt>
                <c:pt idx="9">
                  <c:v>490</c:v>
                </c:pt>
                <c:pt idx="10">
                  <c:v>340</c:v>
                </c:pt>
                <c:pt idx="11">
                  <c:v>300</c:v>
                </c:pt>
                <c:pt idx="12">
                  <c:v>440</c:v>
                </c:pt>
                <c:pt idx="13">
                  <c:v>450</c:v>
                </c:pt>
                <c:pt idx="14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2A4-CC4C-8CB5-DB5D67ADC2D2}"/>
            </c:ext>
          </c:extLst>
        </c:ser>
        <c:ser>
          <c:idx val="1"/>
          <c:order val="1"/>
          <c:tx>
            <c:v>Previsto Pie Sales Y</c:v>
          </c:tx>
          <c:spPr>
            <a:ln w="19050">
              <a:noFill/>
            </a:ln>
          </c:spPr>
          <c:xVal>
            <c:strRef>
              <c:f>'output - both'!$D$3:$D$17</c:f>
              <c:strCache>
                <c:ptCount val="15"/>
                <c:pt idx="2">
                  <c:v>52% of variabiability of pie sales is well explained by price and adv movements</c:v>
                </c:pt>
                <c:pt idx="8">
                  <c:v>MQ</c:v>
                </c:pt>
                <c:pt idx="9">
                  <c:v>14730,01343</c:v>
                </c:pt>
                <c:pt idx="10">
                  <c:v>2252,775539</c:v>
                </c:pt>
                <c:pt idx="13">
                  <c:v>Stat t</c:v>
                </c:pt>
                <c:pt idx="14">
                  <c:v>2,682851182</c:v>
                </c:pt>
              </c:strCache>
            </c:strRef>
          </c:xVal>
          <c:yVal>
            <c:numRef>
              <c:f>'output - both'!$B$26:$B$40</c:f>
              <c:numCache>
                <c:formatCode>General</c:formatCode>
                <c:ptCount val="15"/>
                <c:pt idx="0">
                  <c:v>413.79536064854062</c:v>
                </c:pt>
                <c:pt idx="1">
                  <c:v>363.84518161288679</c:v>
                </c:pt>
                <c:pt idx="2">
                  <c:v>329.11834960735098</c:v>
                </c:pt>
                <c:pt idx="3">
                  <c:v>440.31478584046243</c:v>
                </c:pt>
                <c:pt idx="4">
                  <c:v>359.08845702874333</c:v>
                </c:pt>
                <c:pt idx="5">
                  <c:v>415.73685185500545</c:v>
                </c:pt>
                <c:pt idx="6">
                  <c:v>416.53116291974527</c:v>
                </c:pt>
                <c:pt idx="7">
                  <c:v>420.97016307799277</c:v>
                </c:pt>
                <c:pt idx="8">
                  <c:v>391.15891786954842</c:v>
                </c:pt>
                <c:pt idx="9">
                  <c:v>478.17457564957283</c:v>
                </c:pt>
                <c:pt idx="10">
                  <c:v>386.16389996598309</c:v>
                </c:pt>
                <c:pt idx="11">
                  <c:v>346.4420500568819</c:v>
                </c:pt>
                <c:pt idx="12">
                  <c:v>455.69699508352858</c:v>
                </c:pt>
                <c:pt idx="13">
                  <c:v>441.10909690520236</c:v>
                </c:pt>
                <c:pt idx="14">
                  <c:v>331.85415187855568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2A4-CC4C-8CB5-DB5D67ADC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0261440"/>
        <c:axId val="1669658848"/>
      </c:scatterChart>
      <c:valAx>
        <c:axId val="1670261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Advertising</a:t>
                </a:r>
              </a:p>
            </c:rich>
          </c:tx>
          <c:overlay val="0"/>
        </c:title>
        <c:majorTickMark val="out"/>
        <c:minorTickMark val="none"/>
        <c:tickLblPos val="nextTo"/>
        <c:crossAx val="1669658848"/>
        <c:crosses val="autoZero"/>
        <c:crossBetween val="midCat"/>
      </c:valAx>
      <c:valAx>
        <c:axId val="16696588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Pie Sales 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70261440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Tracciato della probabilità normale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'output - both'!$F$26:$F$40</c:f>
              <c:numCache>
                <c:formatCode>General</c:formatCode>
                <c:ptCount val="15"/>
                <c:pt idx="0">
                  <c:v>3.3333333333333335</c:v>
                </c:pt>
                <c:pt idx="1">
                  <c:v>10</c:v>
                </c:pt>
                <c:pt idx="2">
                  <c:v>16.666666666666668</c:v>
                </c:pt>
                <c:pt idx="3">
                  <c:v>23.333333333333332</c:v>
                </c:pt>
                <c:pt idx="4">
                  <c:v>30</c:v>
                </c:pt>
                <c:pt idx="5">
                  <c:v>36.666666666666671</c:v>
                </c:pt>
                <c:pt idx="6">
                  <c:v>43.333333333333336</c:v>
                </c:pt>
                <c:pt idx="7">
                  <c:v>50.000000000000007</c:v>
                </c:pt>
                <c:pt idx="8">
                  <c:v>56.666666666666671</c:v>
                </c:pt>
                <c:pt idx="9">
                  <c:v>63.333333333333336</c:v>
                </c:pt>
                <c:pt idx="10">
                  <c:v>70</c:v>
                </c:pt>
                <c:pt idx="11">
                  <c:v>76.666666666666671</c:v>
                </c:pt>
                <c:pt idx="12">
                  <c:v>83.333333333333329</c:v>
                </c:pt>
                <c:pt idx="13">
                  <c:v>90</c:v>
                </c:pt>
                <c:pt idx="14">
                  <c:v>96.666666666666671</c:v>
                </c:pt>
              </c:numCache>
            </c:numRef>
          </c:xVal>
          <c:yVal>
            <c:numRef>
              <c:f>'output - both'!$G$26:$G$40</c:f>
              <c:numCache>
                <c:formatCode>General</c:formatCode>
                <c:ptCount val="15"/>
                <c:pt idx="0">
                  <c:v>300</c:v>
                </c:pt>
                <c:pt idx="1">
                  <c:v>300</c:v>
                </c:pt>
                <c:pt idx="2">
                  <c:v>340</c:v>
                </c:pt>
                <c:pt idx="3">
                  <c:v>350</c:v>
                </c:pt>
                <c:pt idx="4">
                  <c:v>350</c:v>
                </c:pt>
                <c:pt idx="5">
                  <c:v>350</c:v>
                </c:pt>
                <c:pt idx="6">
                  <c:v>380</c:v>
                </c:pt>
                <c:pt idx="7">
                  <c:v>430</c:v>
                </c:pt>
                <c:pt idx="8">
                  <c:v>430</c:v>
                </c:pt>
                <c:pt idx="9">
                  <c:v>440</c:v>
                </c:pt>
                <c:pt idx="10">
                  <c:v>450</c:v>
                </c:pt>
                <c:pt idx="11">
                  <c:v>450</c:v>
                </c:pt>
                <c:pt idx="12">
                  <c:v>460</c:v>
                </c:pt>
                <c:pt idx="13">
                  <c:v>470</c:v>
                </c:pt>
                <c:pt idx="14">
                  <c:v>490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8E-8840-8CE1-FA85A7D5E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3529824"/>
        <c:axId val="1633436800"/>
      </c:scatterChart>
      <c:valAx>
        <c:axId val="1633529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Percentile campionaria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33436800"/>
        <c:crosses val="autoZero"/>
        <c:crossBetween val="midCat"/>
      </c:valAx>
      <c:valAx>
        <c:axId val="16334368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Pie Sales 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33529824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Advertising Tracciato dei residui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strRef>
              <c:f>Foglio1!$D$3:$D$17</c:f>
              <c:strCache>
                <c:ptCount val="15"/>
                <c:pt idx="8">
                  <c:v>MQ</c:v>
                </c:pt>
                <c:pt idx="9">
                  <c:v>14730,01343</c:v>
                </c:pt>
                <c:pt idx="10">
                  <c:v>2252,775539</c:v>
                </c:pt>
                <c:pt idx="13">
                  <c:v>Stat t</c:v>
                </c:pt>
                <c:pt idx="14">
                  <c:v>2,682851182</c:v>
                </c:pt>
              </c:strCache>
            </c:strRef>
          </c:xVal>
          <c:yVal>
            <c:numRef>
              <c:f>Foglio1!$C$26:$C$40</c:f>
              <c:numCache>
                <c:formatCode>General</c:formatCode>
                <c:ptCount val="15"/>
                <c:pt idx="0">
                  <c:v>-63.795360648540623</c:v>
                </c:pt>
                <c:pt idx="1">
                  <c:v>96.15481838711321</c:v>
                </c:pt>
                <c:pt idx="2">
                  <c:v>20.881650392649021</c:v>
                </c:pt>
                <c:pt idx="3">
                  <c:v>-10.314785840462434</c:v>
                </c:pt>
                <c:pt idx="4">
                  <c:v>-9.0884570287433348</c:v>
                </c:pt>
                <c:pt idx="5">
                  <c:v>-35.736851855005455</c:v>
                </c:pt>
                <c:pt idx="6">
                  <c:v>13.46883708025473</c:v>
                </c:pt>
                <c:pt idx="7">
                  <c:v>49.029836922007235</c:v>
                </c:pt>
                <c:pt idx="8">
                  <c:v>58.841082130451582</c:v>
                </c:pt>
                <c:pt idx="9">
                  <c:v>11.82542435042717</c:v>
                </c:pt>
                <c:pt idx="10">
                  <c:v>-46.163899965983092</c:v>
                </c:pt>
                <c:pt idx="11">
                  <c:v>-46.442050056881897</c:v>
                </c:pt>
                <c:pt idx="12">
                  <c:v>-15.696995083528577</c:v>
                </c:pt>
                <c:pt idx="13">
                  <c:v>8.8909030947976362</c:v>
                </c:pt>
                <c:pt idx="14">
                  <c:v>-31.854151878555683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0F1-F544-8874-CF4DADB8E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6557968"/>
        <c:axId val="776559616"/>
      </c:scatterChart>
      <c:valAx>
        <c:axId val="776557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Advertising</a:t>
                </a:r>
              </a:p>
            </c:rich>
          </c:tx>
          <c:overlay val="0"/>
        </c:title>
        <c:majorTickMark val="out"/>
        <c:minorTickMark val="none"/>
        <c:tickLblPos val="nextTo"/>
        <c:crossAx val="776559616"/>
        <c:crosses val="autoZero"/>
        <c:crossBetween val="midCat"/>
      </c:valAx>
      <c:valAx>
        <c:axId val="776559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Residui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76557968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Tracciato della probabilità normale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Foglio1!$F$26:$F$40</c:f>
              <c:numCache>
                <c:formatCode>General</c:formatCode>
                <c:ptCount val="15"/>
                <c:pt idx="0">
                  <c:v>3.3333333333333335</c:v>
                </c:pt>
                <c:pt idx="1">
                  <c:v>10</c:v>
                </c:pt>
                <c:pt idx="2">
                  <c:v>16.666666666666668</c:v>
                </c:pt>
                <c:pt idx="3">
                  <c:v>23.333333333333332</c:v>
                </c:pt>
                <c:pt idx="4">
                  <c:v>30</c:v>
                </c:pt>
                <c:pt idx="5">
                  <c:v>36.666666666666671</c:v>
                </c:pt>
                <c:pt idx="6">
                  <c:v>43.333333333333336</c:v>
                </c:pt>
                <c:pt idx="7">
                  <c:v>50.000000000000007</c:v>
                </c:pt>
                <c:pt idx="8">
                  <c:v>56.666666666666671</c:v>
                </c:pt>
                <c:pt idx="9">
                  <c:v>63.333333333333336</c:v>
                </c:pt>
                <c:pt idx="10">
                  <c:v>70</c:v>
                </c:pt>
                <c:pt idx="11">
                  <c:v>76.666666666666671</c:v>
                </c:pt>
                <c:pt idx="12">
                  <c:v>83.333333333333329</c:v>
                </c:pt>
                <c:pt idx="13">
                  <c:v>90</c:v>
                </c:pt>
                <c:pt idx="14">
                  <c:v>96.666666666666671</c:v>
                </c:pt>
              </c:numCache>
            </c:numRef>
          </c:xVal>
          <c:yVal>
            <c:numRef>
              <c:f>Foglio1!$G$26:$G$40</c:f>
              <c:numCache>
                <c:formatCode>General</c:formatCode>
                <c:ptCount val="15"/>
                <c:pt idx="0">
                  <c:v>300</c:v>
                </c:pt>
                <c:pt idx="1">
                  <c:v>300</c:v>
                </c:pt>
                <c:pt idx="2">
                  <c:v>340</c:v>
                </c:pt>
                <c:pt idx="3">
                  <c:v>350</c:v>
                </c:pt>
                <c:pt idx="4">
                  <c:v>350</c:v>
                </c:pt>
                <c:pt idx="5">
                  <c:v>350</c:v>
                </c:pt>
                <c:pt idx="6">
                  <c:v>380</c:v>
                </c:pt>
                <c:pt idx="7">
                  <c:v>430</c:v>
                </c:pt>
                <c:pt idx="8">
                  <c:v>430</c:v>
                </c:pt>
                <c:pt idx="9">
                  <c:v>440</c:v>
                </c:pt>
                <c:pt idx="10">
                  <c:v>450</c:v>
                </c:pt>
                <c:pt idx="11">
                  <c:v>450</c:v>
                </c:pt>
                <c:pt idx="12">
                  <c:v>460</c:v>
                </c:pt>
                <c:pt idx="13">
                  <c:v>470</c:v>
                </c:pt>
                <c:pt idx="14">
                  <c:v>490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26D-9D40-BAF3-255356BE1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6421952"/>
        <c:axId val="766423600"/>
      </c:scatterChart>
      <c:valAx>
        <c:axId val="76642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Percentile campionaria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6423600"/>
        <c:crosses val="autoZero"/>
        <c:crossBetween val="midCat"/>
      </c:valAx>
      <c:valAx>
        <c:axId val="7664236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Pie Sales 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6421952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Foglio2!$C$1</c:f>
              <c:strCache>
                <c:ptCount val="1"/>
                <c:pt idx="0">
                  <c:v>Pie Sales Y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dist="25400" dir="2700000" algn="tl" rotWithShape="0">
                <a:schemeClr val="accent2"/>
              </a:outerShdw>
            </a:effectLst>
          </c:spPr>
          <c:marker>
            <c:symbol val="circle"/>
            <c:size val="6"/>
            <c:spPr>
              <a:solidFill>
                <a:schemeClr val="accent2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xVal>
            <c:numRef>
              <c:f>Foglio2!$B$2:$B$16</c:f>
              <c:numCache>
                <c:formatCode>General</c:formatCode>
                <c:ptCount val="15"/>
                <c:pt idx="0">
                  <c:v>5.5</c:v>
                </c:pt>
                <c:pt idx="1">
                  <c:v>7.5</c:v>
                </c:pt>
                <c:pt idx="2">
                  <c:v>8</c:v>
                </c:pt>
                <c:pt idx="3">
                  <c:v>8</c:v>
                </c:pt>
                <c:pt idx="4">
                  <c:v>6.8</c:v>
                </c:pt>
                <c:pt idx="5">
                  <c:v>7.5</c:v>
                </c:pt>
                <c:pt idx="6">
                  <c:v>4.5</c:v>
                </c:pt>
                <c:pt idx="7">
                  <c:v>6.4</c:v>
                </c:pt>
                <c:pt idx="8">
                  <c:v>7</c:v>
                </c:pt>
                <c:pt idx="9">
                  <c:v>5</c:v>
                </c:pt>
                <c:pt idx="10">
                  <c:v>7.2</c:v>
                </c:pt>
                <c:pt idx="11">
                  <c:v>7.9</c:v>
                </c:pt>
                <c:pt idx="12">
                  <c:v>5.9</c:v>
                </c:pt>
                <c:pt idx="13">
                  <c:v>5</c:v>
                </c:pt>
                <c:pt idx="14">
                  <c:v>7</c:v>
                </c:pt>
              </c:numCache>
            </c:numRef>
          </c:xVal>
          <c:yVal>
            <c:numRef>
              <c:f>Foglio2!$C$2:$C$16</c:f>
              <c:numCache>
                <c:formatCode>General</c:formatCode>
                <c:ptCount val="15"/>
                <c:pt idx="0">
                  <c:v>350</c:v>
                </c:pt>
                <c:pt idx="1">
                  <c:v>460</c:v>
                </c:pt>
                <c:pt idx="2">
                  <c:v>350</c:v>
                </c:pt>
                <c:pt idx="3">
                  <c:v>430</c:v>
                </c:pt>
                <c:pt idx="4">
                  <c:v>350</c:v>
                </c:pt>
                <c:pt idx="5">
                  <c:v>380</c:v>
                </c:pt>
                <c:pt idx="6">
                  <c:v>430</c:v>
                </c:pt>
                <c:pt idx="7">
                  <c:v>470</c:v>
                </c:pt>
                <c:pt idx="8">
                  <c:v>450</c:v>
                </c:pt>
                <c:pt idx="9">
                  <c:v>490</c:v>
                </c:pt>
                <c:pt idx="10">
                  <c:v>340</c:v>
                </c:pt>
                <c:pt idx="11">
                  <c:v>300</c:v>
                </c:pt>
                <c:pt idx="12">
                  <c:v>440</c:v>
                </c:pt>
                <c:pt idx="13">
                  <c:v>450</c:v>
                </c:pt>
                <c:pt idx="14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1A3-8F4A-BFB0-3AAFF6EAFA3D}"/>
            </c:ext>
          </c:extLst>
        </c:ser>
        <c:ser>
          <c:idx val="0"/>
          <c:order val="1"/>
          <c:tx>
            <c:strRef>
              <c:f>Foglio2!$C$1</c:f>
              <c:strCache>
                <c:ptCount val="1"/>
                <c:pt idx="0">
                  <c:v>Pie Sales Y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7383054061839829"/>
                  <c:y val="0.1562587267684656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200" b="0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Foglio2!$B$2:$B$16</c:f>
              <c:numCache>
                <c:formatCode>General</c:formatCode>
                <c:ptCount val="15"/>
                <c:pt idx="0">
                  <c:v>5.5</c:v>
                </c:pt>
                <c:pt idx="1">
                  <c:v>7.5</c:v>
                </c:pt>
                <c:pt idx="2">
                  <c:v>8</c:v>
                </c:pt>
                <c:pt idx="3">
                  <c:v>8</c:v>
                </c:pt>
                <c:pt idx="4">
                  <c:v>6.8</c:v>
                </c:pt>
                <c:pt idx="5">
                  <c:v>7.5</c:v>
                </c:pt>
                <c:pt idx="6">
                  <c:v>4.5</c:v>
                </c:pt>
                <c:pt idx="7">
                  <c:v>6.4</c:v>
                </c:pt>
                <c:pt idx="8">
                  <c:v>7</c:v>
                </c:pt>
                <c:pt idx="9">
                  <c:v>5</c:v>
                </c:pt>
                <c:pt idx="10">
                  <c:v>7.2</c:v>
                </c:pt>
                <c:pt idx="11">
                  <c:v>7.9</c:v>
                </c:pt>
                <c:pt idx="12">
                  <c:v>5.9</c:v>
                </c:pt>
                <c:pt idx="13">
                  <c:v>5</c:v>
                </c:pt>
                <c:pt idx="14">
                  <c:v>7</c:v>
                </c:pt>
              </c:numCache>
            </c:numRef>
          </c:xVal>
          <c:yVal>
            <c:numRef>
              <c:f>Foglio2!$C$2:$C$16</c:f>
              <c:numCache>
                <c:formatCode>General</c:formatCode>
                <c:ptCount val="15"/>
                <c:pt idx="0">
                  <c:v>350</c:v>
                </c:pt>
                <c:pt idx="1">
                  <c:v>460</c:v>
                </c:pt>
                <c:pt idx="2">
                  <c:v>350</c:v>
                </c:pt>
                <c:pt idx="3">
                  <c:v>430</c:v>
                </c:pt>
                <c:pt idx="4">
                  <c:v>350</c:v>
                </c:pt>
                <c:pt idx="5">
                  <c:v>380</c:v>
                </c:pt>
                <c:pt idx="6">
                  <c:v>430</c:v>
                </c:pt>
                <c:pt idx="7">
                  <c:v>470</c:v>
                </c:pt>
                <c:pt idx="8">
                  <c:v>450</c:v>
                </c:pt>
                <c:pt idx="9">
                  <c:v>490</c:v>
                </c:pt>
                <c:pt idx="10">
                  <c:v>340</c:v>
                </c:pt>
                <c:pt idx="11">
                  <c:v>300</c:v>
                </c:pt>
                <c:pt idx="12">
                  <c:v>440</c:v>
                </c:pt>
                <c:pt idx="13">
                  <c:v>450</c:v>
                </c:pt>
                <c:pt idx="14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1A3-8F4A-BFB0-3AAFF6EAF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066208"/>
        <c:axId val="577067936"/>
      </c:scatterChart>
      <c:valAx>
        <c:axId val="577066208"/>
        <c:scaling>
          <c:orientation val="minMax"/>
          <c:min val="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PRICE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77067936"/>
        <c:crosses val="autoZero"/>
        <c:crossBetween val="midCat"/>
      </c:valAx>
      <c:valAx>
        <c:axId val="577067936"/>
        <c:scaling>
          <c:orientation val="minMax"/>
          <c:min val="200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lt1">
                  <a:alpha val="10000"/>
                </a:schemeClr>
              </a:solidFill>
            </a:ln>
            <a:effectLst/>
          </c:spPr>
        </c:min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77066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Foglio3!$C$1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0658128840384139"/>
                  <c:y val="-2.571741032370953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3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Foglio3!$B$2:$B$7</c:f>
              <c:numCache>
                <c:formatCode>General</c:formatCode>
                <c:ptCount val="6"/>
                <c:pt idx="0">
                  <c:v>3</c:v>
                </c:pt>
                <c:pt idx="1">
                  <c:v>4</c:v>
                </c:pt>
                <c:pt idx="2">
                  <c:v>7</c:v>
                </c:pt>
                <c:pt idx="3">
                  <c:v>8</c:v>
                </c:pt>
                <c:pt idx="4">
                  <c:v>3</c:v>
                </c:pt>
                <c:pt idx="5">
                  <c:v>2</c:v>
                </c:pt>
              </c:numCache>
            </c:numRef>
          </c:xVal>
          <c:yVal>
            <c:numRef>
              <c:f>Foglio3!$C$2:$C$7</c:f>
              <c:numCache>
                <c:formatCode>General</c:formatCode>
                <c:ptCount val="6"/>
                <c:pt idx="0">
                  <c:v>-12</c:v>
                </c:pt>
                <c:pt idx="1">
                  <c:v>-17</c:v>
                </c:pt>
                <c:pt idx="2">
                  <c:v>-32</c:v>
                </c:pt>
                <c:pt idx="3">
                  <c:v>-37</c:v>
                </c:pt>
                <c:pt idx="4">
                  <c:v>-12</c:v>
                </c:pt>
                <c:pt idx="5">
                  <c:v>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21-AC43-8661-931124D2D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0957215"/>
        <c:axId val="1121698239"/>
      </c:scatterChart>
      <c:valAx>
        <c:axId val="1120957215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21698239"/>
        <c:crosses val="autoZero"/>
        <c:crossBetween val="midCat"/>
      </c:valAx>
      <c:valAx>
        <c:axId val="1121698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2095721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Adv!$C$1</c:f>
              <c:strCache>
                <c:ptCount val="1"/>
                <c:pt idx="0">
                  <c:v>Pie Sales 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4906255788883541"/>
                  <c:y val="-0.1248396396375581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800" baseline="0"/>
                      <a:t>y = 72,309x + 147,7</a:t>
                    </a:r>
                    <a:br>
                      <a:rPr lang="en-US" sz="1800" baseline="0"/>
                    </a:br>
                    <a:r>
                      <a:rPr lang="en-US" sz="1800" baseline="0"/>
                      <a:t>R² = 0,3095</a:t>
                    </a:r>
                    <a:endParaRPr lang="en-US" sz="18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Adv!$B$2:$B$16</c:f>
              <c:numCache>
                <c:formatCode>General</c:formatCode>
                <c:ptCount val="15"/>
                <c:pt idx="0">
                  <c:v>3.3</c:v>
                </c:pt>
                <c:pt idx="1">
                  <c:v>3.3</c:v>
                </c:pt>
                <c:pt idx="2">
                  <c:v>3</c:v>
                </c:pt>
                <c:pt idx="3">
                  <c:v>4.5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3.7</c:v>
                </c:pt>
                <c:pt idx="8">
                  <c:v>3.5</c:v>
                </c:pt>
                <c:pt idx="9">
                  <c:v>4</c:v>
                </c:pt>
                <c:pt idx="10">
                  <c:v>3.5</c:v>
                </c:pt>
                <c:pt idx="11">
                  <c:v>3.2</c:v>
                </c:pt>
                <c:pt idx="12">
                  <c:v>4</c:v>
                </c:pt>
                <c:pt idx="13">
                  <c:v>3.5</c:v>
                </c:pt>
                <c:pt idx="14">
                  <c:v>2.7</c:v>
                </c:pt>
              </c:numCache>
            </c:numRef>
          </c:xVal>
          <c:yVal>
            <c:numRef>
              <c:f>Adv!$C$2:$C$16</c:f>
              <c:numCache>
                <c:formatCode>General</c:formatCode>
                <c:ptCount val="15"/>
                <c:pt idx="0">
                  <c:v>350</c:v>
                </c:pt>
                <c:pt idx="1">
                  <c:v>460</c:v>
                </c:pt>
                <c:pt idx="2">
                  <c:v>350</c:v>
                </c:pt>
                <c:pt idx="3">
                  <c:v>430</c:v>
                </c:pt>
                <c:pt idx="4">
                  <c:v>350</c:v>
                </c:pt>
                <c:pt idx="5">
                  <c:v>380</c:v>
                </c:pt>
                <c:pt idx="6">
                  <c:v>430</c:v>
                </c:pt>
                <c:pt idx="7">
                  <c:v>470</c:v>
                </c:pt>
                <c:pt idx="8">
                  <c:v>450</c:v>
                </c:pt>
                <c:pt idx="9">
                  <c:v>490</c:v>
                </c:pt>
                <c:pt idx="10">
                  <c:v>340</c:v>
                </c:pt>
                <c:pt idx="11">
                  <c:v>300</c:v>
                </c:pt>
                <c:pt idx="12">
                  <c:v>440</c:v>
                </c:pt>
                <c:pt idx="13">
                  <c:v>450</c:v>
                </c:pt>
                <c:pt idx="14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62-3B47-BBB2-1AA7F860D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9315184"/>
        <c:axId val="1189577232"/>
      </c:scatterChart>
      <c:valAx>
        <c:axId val="1189315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Adv exp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89577232"/>
        <c:crosses val="autoZero"/>
        <c:crossBetween val="midCat"/>
      </c:valAx>
      <c:valAx>
        <c:axId val="118957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pie sales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893151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Price!$C$1</c:f>
              <c:strCache>
                <c:ptCount val="1"/>
                <c:pt idx="0">
                  <c:v>Pie Sales 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35371522309711284"/>
                  <c:y val="-0.1947276902887139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Price!$B$2:$B$16</c:f>
              <c:numCache>
                <c:formatCode>General</c:formatCode>
                <c:ptCount val="15"/>
                <c:pt idx="0">
                  <c:v>5.5</c:v>
                </c:pt>
                <c:pt idx="1">
                  <c:v>7.5</c:v>
                </c:pt>
                <c:pt idx="2">
                  <c:v>8</c:v>
                </c:pt>
                <c:pt idx="3">
                  <c:v>8</c:v>
                </c:pt>
                <c:pt idx="4">
                  <c:v>6.8</c:v>
                </c:pt>
                <c:pt idx="5">
                  <c:v>7.5</c:v>
                </c:pt>
                <c:pt idx="6">
                  <c:v>4.5</c:v>
                </c:pt>
                <c:pt idx="7">
                  <c:v>6.4</c:v>
                </c:pt>
                <c:pt idx="8">
                  <c:v>7</c:v>
                </c:pt>
                <c:pt idx="9">
                  <c:v>5</c:v>
                </c:pt>
                <c:pt idx="10">
                  <c:v>7.2</c:v>
                </c:pt>
                <c:pt idx="11">
                  <c:v>7.9</c:v>
                </c:pt>
                <c:pt idx="12">
                  <c:v>5.9</c:v>
                </c:pt>
                <c:pt idx="13">
                  <c:v>5</c:v>
                </c:pt>
                <c:pt idx="14">
                  <c:v>7</c:v>
                </c:pt>
              </c:numCache>
            </c:numRef>
          </c:xVal>
          <c:yVal>
            <c:numRef>
              <c:f>Price!$C$2:$C$16</c:f>
              <c:numCache>
                <c:formatCode>General</c:formatCode>
                <c:ptCount val="15"/>
                <c:pt idx="0">
                  <c:v>350</c:v>
                </c:pt>
                <c:pt idx="1">
                  <c:v>460</c:v>
                </c:pt>
                <c:pt idx="2">
                  <c:v>350</c:v>
                </c:pt>
                <c:pt idx="3">
                  <c:v>430</c:v>
                </c:pt>
                <c:pt idx="4">
                  <c:v>350</c:v>
                </c:pt>
                <c:pt idx="5">
                  <c:v>380</c:v>
                </c:pt>
                <c:pt idx="6">
                  <c:v>430</c:v>
                </c:pt>
                <c:pt idx="7">
                  <c:v>470</c:v>
                </c:pt>
                <c:pt idx="8">
                  <c:v>450</c:v>
                </c:pt>
                <c:pt idx="9">
                  <c:v>490</c:v>
                </c:pt>
                <c:pt idx="10">
                  <c:v>340</c:v>
                </c:pt>
                <c:pt idx="11">
                  <c:v>300</c:v>
                </c:pt>
                <c:pt idx="12">
                  <c:v>440</c:v>
                </c:pt>
                <c:pt idx="13">
                  <c:v>450</c:v>
                </c:pt>
                <c:pt idx="14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17-414A-B4F1-B649DFEBF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6780112"/>
        <c:axId val="736323296"/>
      </c:scatterChart>
      <c:valAx>
        <c:axId val="736780112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36323296"/>
        <c:crosses val="autoZero"/>
        <c:crossBetween val="midCat"/>
      </c:valAx>
      <c:valAx>
        <c:axId val="73632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367801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Price Tracciato dei residui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data!$C$3:$C$17</c:f>
              <c:numCache>
                <c:formatCode>General</c:formatCode>
                <c:ptCount val="15"/>
                <c:pt idx="0">
                  <c:v>4</c:v>
                </c:pt>
                <c:pt idx="1">
                  <c:v>7.5</c:v>
                </c:pt>
                <c:pt idx="2">
                  <c:v>8</c:v>
                </c:pt>
                <c:pt idx="3">
                  <c:v>8</c:v>
                </c:pt>
                <c:pt idx="4">
                  <c:v>6.8</c:v>
                </c:pt>
                <c:pt idx="5">
                  <c:v>7.5</c:v>
                </c:pt>
                <c:pt idx="6">
                  <c:v>4.5</c:v>
                </c:pt>
                <c:pt idx="7">
                  <c:v>6.4</c:v>
                </c:pt>
                <c:pt idx="8">
                  <c:v>7</c:v>
                </c:pt>
                <c:pt idx="9">
                  <c:v>5</c:v>
                </c:pt>
                <c:pt idx="10">
                  <c:v>7.2</c:v>
                </c:pt>
                <c:pt idx="11">
                  <c:v>7.9</c:v>
                </c:pt>
                <c:pt idx="12">
                  <c:v>5.9</c:v>
                </c:pt>
                <c:pt idx="13">
                  <c:v>5</c:v>
                </c:pt>
                <c:pt idx="14">
                  <c:v>7</c:v>
                </c:pt>
              </c:numCache>
            </c:numRef>
          </c:xVal>
          <c:yVal>
            <c:numRef>
              <c:f>'output - both'!$C$26:$C$40</c:f>
              <c:numCache>
                <c:formatCode>General</c:formatCode>
                <c:ptCount val="15"/>
                <c:pt idx="0">
                  <c:v>-63.795360648540623</c:v>
                </c:pt>
                <c:pt idx="1">
                  <c:v>96.15481838711321</c:v>
                </c:pt>
                <c:pt idx="2">
                  <c:v>20.881650392649021</c:v>
                </c:pt>
                <c:pt idx="3">
                  <c:v>-10.314785840462434</c:v>
                </c:pt>
                <c:pt idx="4">
                  <c:v>-9.0884570287433348</c:v>
                </c:pt>
                <c:pt idx="5">
                  <c:v>-35.736851855005455</c:v>
                </c:pt>
                <c:pt idx="6">
                  <c:v>13.46883708025473</c:v>
                </c:pt>
                <c:pt idx="7">
                  <c:v>49.029836922007235</c:v>
                </c:pt>
                <c:pt idx="8">
                  <c:v>58.841082130451582</c:v>
                </c:pt>
                <c:pt idx="9">
                  <c:v>11.82542435042717</c:v>
                </c:pt>
                <c:pt idx="10">
                  <c:v>-46.163899965983092</c:v>
                </c:pt>
                <c:pt idx="11">
                  <c:v>-46.442050056881897</c:v>
                </c:pt>
                <c:pt idx="12">
                  <c:v>-15.696995083528577</c:v>
                </c:pt>
                <c:pt idx="13">
                  <c:v>8.8909030947976362</c:v>
                </c:pt>
                <c:pt idx="14">
                  <c:v>-31.854151878555683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E99-E343-A586-850FFD342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0200208"/>
        <c:axId val="1669940032"/>
      </c:scatterChart>
      <c:valAx>
        <c:axId val="1670200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Price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69940032"/>
        <c:crosses val="autoZero"/>
        <c:crossBetween val="midCat"/>
      </c:valAx>
      <c:valAx>
        <c:axId val="16699400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Residui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70200208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Advertising Tracciato dei residui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strRef>
              <c:f>'output - both'!$D$3:$D$17</c:f>
              <c:strCache>
                <c:ptCount val="15"/>
                <c:pt idx="2">
                  <c:v>52% of variabiability of pie sales is well explained by price and adv movements</c:v>
                </c:pt>
                <c:pt idx="8">
                  <c:v>MQ</c:v>
                </c:pt>
                <c:pt idx="9">
                  <c:v>14730,01343</c:v>
                </c:pt>
                <c:pt idx="10">
                  <c:v>2252,775539</c:v>
                </c:pt>
                <c:pt idx="13">
                  <c:v>Stat t</c:v>
                </c:pt>
                <c:pt idx="14">
                  <c:v>2,682851182</c:v>
                </c:pt>
              </c:strCache>
            </c:strRef>
          </c:xVal>
          <c:yVal>
            <c:numRef>
              <c:f>'output - both'!$C$26:$C$40</c:f>
              <c:numCache>
                <c:formatCode>General</c:formatCode>
                <c:ptCount val="15"/>
                <c:pt idx="0">
                  <c:v>-63.795360648540623</c:v>
                </c:pt>
                <c:pt idx="1">
                  <c:v>96.15481838711321</c:v>
                </c:pt>
                <c:pt idx="2">
                  <c:v>20.881650392649021</c:v>
                </c:pt>
                <c:pt idx="3">
                  <c:v>-10.314785840462434</c:v>
                </c:pt>
                <c:pt idx="4">
                  <c:v>-9.0884570287433348</c:v>
                </c:pt>
                <c:pt idx="5">
                  <c:v>-35.736851855005455</c:v>
                </c:pt>
                <c:pt idx="6">
                  <c:v>13.46883708025473</c:v>
                </c:pt>
                <c:pt idx="7">
                  <c:v>49.029836922007235</c:v>
                </c:pt>
                <c:pt idx="8">
                  <c:v>58.841082130451582</c:v>
                </c:pt>
                <c:pt idx="9">
                  <c:v>11.82542435042717</c:v>
                </c:pt>
                <c:pt idx="10">
                  <c:v>-46.163899965983092</c:v>
                </c:pt>
                <c:pt idx="11">
                  <c:v>-46.442050056881897</c:v>
                </c:pt>
                <c:pt idx="12">
                  <c:v>-15.696995083528577</c:v>
                </c:pt>
                <c:pt idx="13">
                  <c:v>8.8909030947976362</c:v>
                </c:pt>
                <c:pt idx="14">
                  <c:v>-31.854151878555683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96-8F45-B94A-5C2990C3B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5166720"/>
        <c:axId val="1645168368"/>
      </c:scatterChart>
      <c:valAx>
        <c:axId val="1645166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Advertising</a:t>
                </a:r>
              </a:p>
            </c:rich>
          </c:tx>
          <c:overlay val="0"/>
        </c:title>
        <c:majorTickMark val="out"/>
        <c:minorTickMark val="none"/>
        <c:tickLblPos val="nextTo"/>
        <c:crossAx val="1645168368"/>
        <c:crosses val="autoZero"/>
        <c:crossBetween val="midCat"/>
      </c:valAx>
      <c:valAx>
        <c:axId val="164516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Residui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45166720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279400</xdr:colOff>
      <xdr:row>1</xdr:row>
      <xdr:rowOff>63500</xdr:rowOff>
    </xdr:from>
    <xdr:to>
      <xdr:col>15</xdr:col>
      <xdr:colOff>279400</xdr:colOff>
      <xdr:row>11</xdr:row>
      <xdr:rowOff>63500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7668C50-40FE-3641-B8FD-184D4015A4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279400</xdr:colOff>
      <xdr:row>3</xdr:row>
      <xdr:rowOff>63500</xdr:rowOff>
    </xdr:from>
    <xdr:to>
      <xdr:col>16</xdr:col>
      <xdr:colOff>279400</xdr:colOff>
      <xdr:row>13</xdr:row>
      <xdr:rowOff>63500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EEAEC3B-6725-5B4D-91C4-2E89C461CD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279400</xdr:colOff>
      <xdr:row>5</xdr:row>
      <xdr:rowOff>63500</xdr:rowOff>
    </xdr:from>
    <xdr:to>
      <xdr:col>17</xdr:col>
      <xdr:colOff>279400</xdr:colOff>
      <xdr:row>15</xdr:row>
      <xdr:rowOff>50800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C1F6B3FC-68BD-5849-8669-82F24CAA94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406400</xdr:colOff>
      <xdr:row>0</xdr:row>
      <xdr:rowOff>0</xdr:rowOff>
    </xdr:from>
    <xdr:to>
      <xdr:col>14</xdr:col>
      <xdr:colOff>482600</xdr:colOff>
      <xdr:row>27</xdr:row>
      <xdr:rowOff>76200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DA8AA3F-3522-A568-DB02-727C1383E7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1035050</xdr:colOff>
      <xdr:row>0</xdr:row>
      <xdr:rowOff>311150</xdr:rowOff>
    </xdr:from>
    <xdr:to>
      <xdr:col>12</xdr:col>
      <xdr:colOff>654050</xdr:colOff>
      <xdr:row>6</xdr:row>
      <xdr:rowOff>19050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F73202D-FB48-3779-2E54-42C9CBE42B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2</xdr:row>
      <xdr:rowOff>127000</xdr:rowOff>
    </xdr:from>
    <xdr:to>
      <xdr:col>12</xdr:col>
      <xdr:colOff>330200</xdr:colOff>
      <xdr:row>17</xdr:row>
      <xdr:rowOff>158750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DB5CA32-C6C8-8F45-B125-EF47CA31F0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737220</xdr:colOff>
      <xdr:row>6</xdr:row>
      <xdr:rowOff>2</xdr:rowOff>
    </xdr:from>
    <xdr:to>
      <xdr:col>6</xdr:col>
      <xdr:colOff>365513</xdr:colOff>
      <xdr:row>17</xdr:row>
      <xdr:rowOff>122666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CB718271-0D19-1E4D-9FD8-DA04D0C949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279400</xdr:colOff>
      <xdr:row>1</xdr:row>
      <xdr:rowOff>63500</xdr:rowOff>
    </xdr:from>
    <xdr:to>
      <xdr:col>15</xdr:col>
      <xdr:colOff>279400</xdr:colOff>
      <xdr:row>11</xdr:row>
      <xdr:rowOff>63500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DC08F4E-1619-594A-BE29-67395DF8D0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279400</xdr:colOff>
      <xdr:row>3</xdr:row>
      <xdr:rowOff>63500</xdr:rowOff>
    </xdr:from>
    <xdr:to>
      <xdr:col>16</xdr:col>
      <xdr:colOff>279400</xdr:colOff>
      <xdr:row>13</xdr:row>
      <xdr:rowOff>63500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69DA7735-2B7B-AC40-A67D-677C60C364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279400</xdr:colOff>
      <xdr:row>5</xdr:row>
      <xdr:rowOff>63500</xdr:rowOff>
    </xdr:from>
    <xdr:to>
      <xdr:col>17</xdr:col>
      <xdr:colOff>279400</xdr:colOff>
      <xdr:row>15</xdr:row>
      <xdr:rowOff>50800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FA0B4CB-2F4C-2D43-8F49-29B08D8FE1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279400</xdr:colOff>
      <xdr:row>7</xdr:row>
      <xdr:rowOff>63500</xdr:rowOff>
    </xdr:from>
    <xdr:to>
      <xdr:col>18</xdr:col>
      <xdr:colOff>279400</xdr:colOff>
      <xdr:row>17</xdr:row>
      <xdr:rowOff>63500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3503B56-13BA-7549-BB02-D60586F8F8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279400</xdr:colOff>
      <xdr:row>9</xdr:row>
      <xdr:rowOff>63500</xdr:rowOff>
    </xdr:from>
    <xdr:to>
      <xdr:col>19</xdr:col>
      <xdr:colOff>279400</xdr:colOff>
      <xdr:row>19</xdr:row>
      <xdr:rowOff>50800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C7B95819-E550-4F4C-979F-5AD1B01B83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2AEBC-C828-414A-9E82-24EA93645F41}">
  <dimension ref="A1:I40"/>
  <sheetViews>
    <sheetView topLeftCell="A14" zoomScaleNormal="100" workbookViewId="0">
      <selection activeCell="A17" sqref="A17"/>
    </sheetView>
  </sheetViews>
  <sheetFormatPr baseColWidth="10" defaultRowHeight="24" x14ac:dyDescent="0.3"/>
  <cols>
    <col min="1" max="1" width="33.1640625" style="31" customWidth="1"/>
    <col min="2" max="2" width="27.5" style="31" customWidth="1"/>
    <col min="3" max="3" width="20.5" style="31" customWidth="1"/>
    <col min="4" max="4" width="10.83203125" style="31"/>
    <col min="5" max="5" width="29.83203125" style="31" customWidth="1"/>
    <col min="6" max="6" width="50.1640625" style="31" customWidth="1"/>
    <col min="7" max="16384" width="10.83203125" style="31"/>
  </cols>
  <sheetData>
    <row r="1" spans="1:9" x14ac:dyDescent="0.3">
      <c r="A1" s="31" t="s">
        <v>17</v>
      </c>
    </row>
    <row r="2" spans="1:9" ht="25" thickBot="1" x14ac:dyDescent="0.35"/>
    <row r="3" spans="1:9" x14ac:dyDescent="0.3">
      <c r="A3" s="32" t="s">
        <v>18</v>
      </c>
      <c r="B3" s="32"/>
    </row>
    <row r="4" spans="1:9" x14ac:dyDescent="0.3">
      <c r="A4" s="31" t="s">
        <v>29</v>
      </c>
      <c r="B4" s="31">
        <v>0.722134292240182</v>
      </c>
    </row>
    <row r="5" spans="1:9" x14ac:dyDescent="0.3">
      <c r="A5" s="31" t="s">
        <v>97</v>
      </c>
      <c r="B5" s="55">
        <v>0.52</v>
      </c>
      <c r="F5" s="31" t="s">
        <v>100</v>
      </c>
    </row>
    <row r="6" spans="1:9" x14ac:dyDescent="0.3">
      <c r="A6" s="31" t="s">
        <v>96</v>
      </c>
      <c r="B6" s="31">
        <v>0.44172425870076676</v>
      </c>
      <c r="F6" s="31" t="s">
        <v>101</v>
      </c>
    </row>
    <row r="7" spans="1:9" x14ac:dyDescent="0.3">
      <c r="A7" s="31" t="s">
        <v>98</v>
      </c>
      <c r="B7" s="31">
        <v>47.463412634764822</v>
      </c>
    </row>
    <row r="8" spans="1:9" ht="25" thickBot="1" x14ac:dyDescent="0.35">
      <c r="A8" s="33" t="s">
        <v>27</v>
      </c>
      <c r="B8" s="33">
        <v>15</v>
      </c>
    </row>
    <row r="9" spans="1:9" x14ac:dyDescent="0.3">
      <c r="F9" s="31" t="s">
        <v>107</v>
      </c>
    </row>
    <row r="10" spans="1:9" ht="25" thickBot="1" x14ac:dyDescent="0.35">
      <c r="A10" s="31" t="s">
        <v>83</v>
      </c>
    </row>
    <row r="11" spans="1:9" x14ac:dyDescent="0.3">
      <c r="A11" s="34"/>
      <c r="B11" s="34" t="s">
        <v>87</v>
      </c>
      <c r="C11" s="34" t="s">
        <v>19</v>
      </c>
      <c r="D11" s="34" t="s">
        <v>20</v>
      </c>
      <c r="E11" s="34" t="s">
        <v>21</v>
      </c>
      <c r="F11" s="34" t="s">
        <v>99</v>
      </c>
    </row>
    <row r="12" spans="1:9" x14ac:dyDescent="0.3">
      <c r="A12" s="31" t="s">
        <v>84</v>
      </c>
      <c r="B12" s="31">
        <v>2</v>
      </c>
      <c r="C12" s="31">
        <v>29460.026866077889</v>
      </c>
      <c r="D12" s="31">
        <v>14730.013433038945</v>
      </c>
      <c r="E12" s="31">
        <v>6.5386067890204682</v>
      </c>
      <c r="F12" s="35">
        <v>1.2006372233186397E-2</v>
      </c>
      <c r="G12" s="31">
        <v>0.05</v>
      </c>
    </row>
    <row r="13" spans="1:9" x14ac:dyDescent="0.3">
      <c r="A13" s="31" t="s">
        <v>85</v>
      </c>
      <c r="B13" s="31">
        <v>12</v>
      </c>
      <c r="C13" s="31">
        <v>27033.306467255439</v>
      </c>
      <c r="D13" s="31">
        <v>2252.7755389379531</v>
      </c>
      <c r="F13" s="31" t="s">
        <v>102</v>
      </c>
    </row>
    <row r="14" spans="1:9" ht="25" thickBot="1" x14ac:dyDescent="0.35">
      <c r="A14" s="33" t="s">
        <v>86</v>
      </c>
      <c r="B14" s="33">
        <v>14</v>
      </c>
      <c r="C14" s="33">
        <v>56493.333333333328</v>
      </c>
      <c r="D14" s="33"/>
      <c r="E14" s="33"/>
      <c r="F14" s="33"/>
    </row>
    <row r="15" spans="1:9" ht="25" thickBot="1" x14ac:dyDescent="0.35"/>
    <row r="16" spans="1:9" x14ac:dyDescent="0.3">
      <c r="A16" s="34"/>
      <c r="B16" s="34" t="s">
        <v>88</v>
      </c>
      <c r="C16" s="34" t="s">
        <v>82</v>
      </c>
      <c r="D16" s="34" t="s">
        <v>22</v>
      </c>
      <c r="E16" s="34" t="s">
        <v>103</v>
      </c>
      <c r="F16" s="34" t="s">
        <v>89</v>
      </c>
      <c r="G16" s="34" t="s">
        <v>90</v>
      </c>
      <c r="H16" s="34" t="s">
        <v>91</v>
      </c>
      <c r="I16" s="34" t="s">
        <v>92</v>
      </c>
    </row>
    <row r="17" spans="1:9" x14ac:dyDescent="0.3">
      <c r="A17" s="31" t="s">
        <v>68</v>
      </c>
      <c r="B17" s="31">
        <v>306.52619328374368</v>
      </c>
      <c r="C17" s="31">
        <v>114.25389351049147</v>
      </c>
      <c r="D17" s="31">
        <v>2.6828511822714964</v>
      </c>
      <c r="E17" s="31">
        <v>1.9931590985369695E-2</v>
      </c>
      <c r="F17" s="31" t="s">
        <v>104</v>
      </c>
      <c r="G17" s="31">
        <v>555.46404230383575</v>
      </c>
      <c r="H17" s="31">
        <v>57.588344263651578</v>
      </c>
      <c r="I17" s="31">
        <v>555.46404230383575</v>
      </c>
    </row>
    <row r="18" spans="1:9" x14ac:dyDescent="0.3">
      <c r="A18" s="31" t="s">
        <v>1</v>
      </c>
      <c r="B18" s="31">
        <v>-24.975089517826945</v>
      </c>
      <c r="C18" s="31">
        <v>10.832125119411648</v>
      </c>
      <c r="D18" s="31">
        <v>-2.3056500218106306</v>
      </c>
      <c r="E18" s="31">
        <v>0.39</v>
      </c>
      <c r="F18" s="31" t="s">
        <v>105</v>
      </c>
      <c r="G18" s="31">
        <v>-1.3739163350921864</v>
      </c>
      <c r="H18" s="31">
        <v>-48.576262700561699</v>
      </c>
      <c r="I18" s="31">
        <v>-1.3739163350921864</v>
      </c>
    </row>
    <row r="19" spans="1:9" ht="25" thickBot="1" x14ac:dyDescent="0.35">
      <c r="A19" s="33" t="s">
        <v>2</v>
      </c>
      <c r="B19" s="33">
        <v>74.130957488740961</v>
      </c>
      <c r="C19" s="33">
        <v>25.967317917939091</v>
      </c>
      <c r="D19" s="33">
        <v>2.854779139031868</v>
      </c>
      <c r="E19" s="33">
        <v>1.449362679645921E-2</v>
      </c>
      <c r="F19" s="31" t="s">
        <v>106</v>
      </c>
      <c r="G19" s="33">
        <v>130.70888292039436</v>
      </c>
      <c r="H19" s="33">
        <v>17.553032057087563</v>
      </c>
      <c r="I19" s="33">
        <v>130.70888292039436</v>
      </c>
    </row>
    <row r="23" spans="1:9" x14ac:dyDescent="0.3">
      <c r="A23" s="31" t="s">
        <v>23</v>
      </c>
      <c r="F23" s="31" t="s">
        <v>24</v>
      </c>
    </row>
    <row r="24" spans="1:9" ht="25" thickBot="1" x14ac:dyDescent="0.35"/>
    <row r="25" spans="1:9" x14ac:dyDescent="0.3">
      <c r="A25" s="34" t="s">
        <v>93</v>
      </c>
      <c r="B25" s="34" t="s">
        <v>109</v>
      </c>
      <c r="C25" s="34" t="s">
        <v>108</v>
      </c>
      <c r="D25" s="34" t="s">
        <v>94</v>
      </c>
      <c r="F25" s="34" t="s">
        <v>95</v>
      </c>
      <c r="G25" s="34" t="s">
        <v>6</v>
      </c>
    </row>
    <row r="26" spans="1:9" x14ac:dyDescent="0.3">
      <c r="A26" s="31">
        <v>1</v>
      </c>
      <c r="B26" s="31">
        <f>+B17+B18*data!C3+B19*data!D3</f>
        <v>7619.7215840865319</v>
      </c>
      <c r="C26" s="31">
        <v>-63.795360648540623</v>
      </c>
      <c r="D26" s="31">
        <v>-1.4517890980788057</v>
      </c>
      <c r="F26" s="31">
        <v>3.3333333333333335</v>
      </c>
      <c r="G26" s="31">
        <v>300</v>
      </c>
    </row>
    <row r="27" spans="1:9" x14ac:dyDescent="0.3">
      <c r="A27" s="31">
        <v>2</v>
      </c>
      <c r="B27" s="31">
        <f>+$B$17+$B$18*data!C4+Foglio1!$B$19*data!D4</f>
        <v>363.84518161288679</v>
      </c>
      <c r="C27" s="31">
        <v>96.15481838711321</v>
      </c>
      <c r="D27" s="31">
        <v>2.1881923018073235</v>
      </c>
      <c r="F27" s="31">
        <v>10</v>
      </c>
      <c r="G27" s="31">
        <v>300</v>
      </c>
    </row>
    <row r="28" spans="1:9" x14ac:dyDescent="0.3">
      <c r="A28" s="31">
        <v>3</v>
      </c>
      <c r="B28" s="31">
        <f>+$B$17+$B$18*data!C5+Foglio1!$B$19*data!D5</f>
        <v>329.11834960735098</v>
      </c>
      <c r="C28" s="31">
        <v>20.881650392649021</v>
      </c>
      <c r="D28" s="31">
        <v>0.47520308815174572</v>
      </c>
      <c r="F28" s="31">
        <v>16.666666666666668</v>
      </c>
      <c r="G28" s="31">
        <v>340</v>
      </c>
    </row>
    <row r="29" spans="1:9" x14ac:dyDescent="0.3">
      <c r="A29" s="31">
        <v>4</v>
      </c>
      <c r="B29" s="31">
        <f>+$B$17+$B$18*data!C6+Foglio1!$B$19*data!D6</f>
        <v>440.31478584046243</v>
      </c>
      <c r="C29" s="31">
        <v>-10.314785840462434</v>
      </c>
      <c r="D29" s="31">
        <v>-0.23473327025612728</v>
      </c>
      <c r="F29" s="31">
        <v>23.333333333333332</v>
      </c>
      <c r="G29" s="31">
        <v>350</v>
      </c>
    </row>
    <row r="30" spans="1:9" x14ac:dyDescent="0.3">
      <c r="A30" s="31">
        <v>5</v>
      </c>
      <c r="B30" s="31">
        <f>+$B$17+$B$18*data!C7+Foglio1!$B$19*data!D7</f>
        <v>359.08845702874333</v>
      </c>
      <c r="C30" s="31">
        <v>-9.0884570287433348</v>
      </c>
      <c r="D30" s="31">
        <v>-0.20682574247644925</v>
      </c>
      <c r="F30" s="31">
        <v>30</v>
      </c>
      <c r="G30" s="31">
        <v>350</v>
      </c>
    </row>
    <row r="31" spans="1:9" x14ac:dyDescent="0.3">
      <c r="A31" s="31">
        <v>6</v>
      </c>
      <c r="B31" s="31">
        <f>+$B$17+$B$18*data!C8+Foglio1!$B$19*data!D8</f>
        <v>415.73685185500545</v>
      </c>
      <c r="C31" s="31">
        <v>-35.736851855005455</v>
      </c>
      <c r="D31" s="31">
        <v>-0.81326245976698808</v>
      </c>
      <c r="F31" s="31">
        <v>36.666666666666671</v>
      </c>
      <c r="G31" s="31">
        <v>350</v>
      </c>
    </row>
    <row r="32" spans="1:9" x14ac:dyDescent="0.3">
      <c r="A32" s="31">
        <v>7</v>
      </c>
      <c r="B32" s="31">
        <f>+$B$17+$B$18*data!C9+Foglio1!$B$19*data!D9</f>
        <v>416.53116291974527</v>
      </c>
      <c r="C32" s="31">
        <v>13.46883708025473</v>
      </c>
      <c r="D32" s="31">
        <v>0.30650991918737119</v>
      </c>
      <c r="F32" s="31">
        <v>43.333333333333336</v>
      </c>
      <c r="G32" s="31">
        <v>380</v>
      </c>
    </row>
    <row r="33" spans="1:7" x14ac:dyDescent="0.3">
      <c r="A33" s="31">
        <v>8</v>
      </c>
      <c r="B33" s="31">
        <f>+$B$17+$B$18*data!C10+Foglio1!$B$19*data!D10</f>
        <v>420.97016307799277</v>
      </c>
      <c r="C33" s="31">
        <v>49.029836922007235</v>
      </c>
      <c r="D33" s="31">
        <v>1.1157705199928223</v>
      </c>
      <c r="F33" s="31">
        <v>50.000000000000007</v>
      </c>
      <c r="G33" s="31">
        <v>430</v>
      </c>
    </row>
    <row r="34" spans="1:7" x14ac:dyDescent="0.3">
      <c r="A34" s="31">
        <v>9</v>
      </c>
      <c r="B34" s="31">
        <f>+$B$17+$B$18*data!C11+Foglio1!$B$19*data!D11</f>
        <v>391.15891786954842</v>
      </c>
      <c r="C34" s="31">
        <v>58.841082130451582</v>
      </c>
      <c r="D34" s="31">
        <v>1.3390447312739411</v>
      </c>
      <c r="F34" s="31">
        <v>56.666666666666671</v>
      </c>
      <c r="G34" s="31">
        <v>430</v>
      </c>
    </row>
    <row r="35" spans="1:7" x14ac:dyDescent="0.3">
      <c r="A35" s="31">
        <v>10</v>
      </c>
      <c r="B35" s="31">
        <f>+$B$17+$B$18*data!C12+Foglio1!$B$19*data!D12</f>
        <v>478.17457564957283</v>
      </c>
      <c r="C35" s="31">
        <v>11.82542435042717</v>
      </c>
      <c r="D35" s="31">
        <v>0.26911082526341262</v>
      </c>
      <c r="F35" s="31">
        <v>63.333333333333336</v>
      </c>
      <c r="G35" s="31">
        <v>440</v>
      </c>
    </row>
    <row r="36" spans="1:7" x14ac:dyDescent="0.3">
      <c r="A36" s="31">
        <v>11</v>
      </c>
      <c r="B36" s="31">
        <f>+$B$17+$B$18*data!C13+Foglio1!$B$19*data!D13</f>
        <v>386.16389996598309</v>
      </c>
      <c r="C36" s="31">
        <v>-46.163899965983092</v>
      </c>
      <c r="D36" s="31">
        <v>-1.0505504791271676</v>
      </c>
      <c r="F36" s="31">
        <v>70</v>
      </c>
      <c r="G36" s="31">
        <v>450</v>
      </c>
    </row>
    <row r="37" spans="1:7" x14ac:dyDescent="0.3">
      <c r="A37" s="31">
        <v>12</v>
      </c>
      <c r="B37" s="31">
        <f>+$B$17+$B$18*data!C14+Foglio1!$B$19*data!D14</f>
        <v>346.4420500568819</v>
      </c>
      <c r="C37" s="31">
        <v>-46.442050056881897</v>
      </c>
      <c r="D37" s="31">
        <v>-1.0568803323561695</v>
      </c>
      <c r="F37" s="31">
        <v>76.666666666666671</v>
      </c>
      <c r="G37" s="31">
        <v>450</v>
      </c>
    </row>
    <row r="38" spans="1:7" x14ac:dyDescent="0.3">
      <c r="A38" s="31">
        <v>13</v>
      </c>
      <c r="B38" s="31">
        <f>+$B$17+$B$18*data!C15+Foglio1!$B$19*data!D15</f>
        <v>455.69699508352858</v>
      </c>
      <c r="C38" s="31">
        <v>-15.696995083528577</v>
      </c>
      <c r="D38" s="31">
        <v>-0.35721604366201998</v>
      </c>
      <c r="F38" s="31">
        <v>83.333333333333329</v>
      </c>
      <c r="G38" s="31">
        <v>460</v>
      </c>
    </row>
    <row r="39" spans="1:7" x14ac:dyDescent="0.3">
      <c r="A39" s="31">
        <v>14</v>
      </c>
      <c r="B39" s="31">
        <f>+$B$17+$B$18*data!C16+Foglio1!$B$19*data!D16</f>
        <v>441.10909690520236</v>
      </c>
      <c r="C39" s="31">
        <v>8.8909030947976362</v>
      </c>
      <c r="D39" s="31">
        <v>0.20233001356028227</v>
      </c>
      <c r="F39" s="31">
        <v>90</v>
      </c>
      <c r="G39" s="31">
        <v>470</v>
      </c>
    </row>
    <row r="40" spans="1:7" ht="25" thickBot="1" x14ac:dyDescent="0.35">
      <c r="A40" s="33">
        <v>15</v>
      </c>
      <c r="B40" s="31">
        <f>+$B$17+$B$18*data!C17+Foglio1!$B$19*data!D17</f>
        <v>331.85415187855568</v>
      </c>
      <c r="C40" s="33">
        <v>-31.854151878555683</v>
      </c>
      <c r="D40" s="33">
        <v>-0.72490397351318303</v>
      </c>
      <c r="F40" s="33">
        <v>96.666666666666671</v>
      </c>
      <c r="G40" s="33">
        <v>490</v>
      </c>
    </row>
  </sheetData>
  <sortState xmlns:xlrd2="http://schemas.microsoft.com/office/spreadsheetml/2017/richdata2" ref="G26:G40">
    <sortCondition ref="G26"/>
  </sortState>
  <phoneticPr fontId="3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D7E75-2567-D743-9478-FE609DA6E2B1}">
  <dimension ref="A1:L22"/>
  <sheetViews>
    <sheetView tabSelected="1" topLeftCell="B1" zoomScale="138" zoomScaleNormal="138" workbookViewId="0">
      <selection activeCell="F5" sqref="F5"/>
    </sheetView>
  </sheetViews>
  <sheetFormatPr baseColWidth="10" defaultRowHeight="16" x14ac:dyDescent="0.2"/>
  <cols>
    <col min="1" max="1" width="10.83203125" style="3"/>
    <col min="2" max="2" width="14" style="3" customWidth="1"/>
    <col min="3" max="3" width="10.83203125" style="3"/>
    <col min="4" max="4" width="19.6640625" style="3" customWidth="1"/>
    <col min="5" max="6" width="13.1640625" style="3" customWidth="1"/>
    <col min="7" max="7" width="21.6640625" style="41" customWidth="1"/>
    <col min="8" max="8" width="56" style="3" customWidth="1"/>
    <col min="9" max="9" width="10.83203125" style="3"/>
    <col min="10" max="10" width="23.5" style="3" customWidth="1"/>
    <col min="11" max="11" width="35.83203125" style="3" customWidth="1"/>
    <col min="12" max="12" width="42.33203125" style="3" customWidth="1"/>
    <col min="13" max="16384" width="10.83203125" style="3"/>
  </cols>
  <sheetData>
    <row r="1" spans="1:12" ht="23" thickTop="1" thickBot="1" x14ac:dyDescent="0.3">
      <c r="A1" s="56" t="s">
        <v>0</v>
      </c>
      <c r="E1" s="2"/>
      <c r="F1" s="59"/>
      <c r="G1" s="36"/>
      <c r="H1" s="30" t="s">
        <v>81</v>
      </c>
      <c r="I1" s="3">
        <v>0.7</v>
      </c>
      <c r="J1" s="3">
        <v>0.5</v>
      </c>
    </row>
    <row r="2" spans="1:12" ht="42" thickTop="1" thickBot="1" x14ac:dyDescent="0.35">
      <c r="A2" s="57"/>
      <c r="B2" s="37" t="s">
        <v>6</v>
      </c>
      <c r="C2" s="1" t="s">
        <v>143</v>
      </c>
      <c r="D2" s="2" t="s">
        <v>142</v>
      </c>
      <c r="E2" s="43" t="s">
        <v>112</v>
      </c>
      <c r="F2" s="59"/>
      <c r="G2" s="45" t="s">
        <v>111</v>
      </c>
      <c r="H2" s="31" t="s">
        <v>110</v>
      </c>
      <c r="I2" s="31">
        <v>306.52619328374368</v>
      </c>
    </row>
    <row r="3" spans="1:12" ht="25" thickBot="1" x14ac:dyDescent="0.35">
      <c r="A3" s="4">
        <v>1</v>
      </c>
      <c r="B3" s="38">
        <v>350</v>
      </c>
      <c r="C3" s="5">
        <v>4</v>
      </c>
      <c r="D3" s="42">
        <v>100</v>
      </c>
      <c r="E3" s="58">
        <v>7644.6966736043596</v>
      </c>
      <c r="F3" s="58">
        <f>+$I$2+$I$3*C3+$I$4*D3</f>
        <v>7619.7215840865319</v>
      </c>
      <c r="G3" s="45">
        <f>+B3-E3</f>
        <v>-7294.6966736043596</v>
      </c>
      <c r="H3" s="31" t="s">
        <v>1</v>
      </c>
      <c r="I3" s="31">
        <v>-24.975089517826945</v>
      </c>
      <c r="J3" s="9" t="s">
        <v>3</v>
      </c>
      <c r="K3" s="9" t="s">
        <v>4</v>
      </c>
      <c r="L3" s="9" t="s">
        <v>5</v>
      </c>
    </row>
    <row r="4" spans="1:12" ht="25" thickBot="1" x14ac:dyDescent="0.35">
      <c r="A4" s="7">
        <v>2</v>
      </c>
      <c r="B4" s="39">
        <v>460</v>
      </c>
      <c r="C4" s="8">
        <v>7.5</v>
      </c>
      <c r="D4" s="43">
        <v>3.3</v>
      </c>
      <c r="E4" s="46">
        <f>+$I$2+$I$3*C4+$I$4*D4</f>
        <v>363.84518161288679</v>
      </c>
      <c r="F4" s="58">
        <f>+$I$2+$I$3*C4+$I$4*D4</f>
        <v>363.84518161288679</v>
      </c>
      <c r="G4" s="46">
        <f t="shared" ref="G4:G17" si="0">+B4-E4</f>
        <v>96.15481838711321</v>
      </c>
      <c r="H4" s="33" t="s">
        <v>2</v>
      </c>
      <c r="I4" s="33">
        <v>74.130957488740961</v>
      </c>
      <c r="J4" s="9" t="s">
        <v>10</v>
      </c>
      <c r="K4" s="9" t="s">
        <v>11</v>
      </c>
      <c r="L4" s="9" t="s">
        <v>12</v>
      </c>
    </row>
    <row r="5" spans="1:12" ht="19" thickBot="1" x14ac:dyDescent="0.25">
      <c r="A5" s="7">
        <v>3</v>
      </c>
      <c r="B5" s="39">
        <v>350</v>
      </c>
      <c r="C5" s="8">
        <v>8</v>
      </c>
      <c r="D5" s="43">
        <v>3</v>
      </c>
      <c r="E5" s="46">
        <f t="shared" ref="E5:E17" si="1">+$I$2+$I$3*C5+$I$4*D5</f>
        <v>329.11834960735098</v>
      </c>
      <c r="F5" s="58">
        <f t="shared" ref="F4:F13" si="2">+$I$2+$I$3*C5+$I$4*D5</f>
        <v>329.11834960735098</v>
      </c>
      <c r="G5" s="46">
        <f t="shared" si="0"/>
        <v>20.881650392649021</v>
      </c>
      <c r="H5" s="3" t="s">
        <v>15</v>
      </c>
    </row>
    <row r="6" spans="1:12" ht="19" thickBot="1" x14ac:dyDescent="0.25">
      <c r="A6" s="7">
        <v>4</v>
      </c>
      <c r="B6" s="39">
        <v>430</v>
      </c>
      <c r="C6" s="8">
        <v>8</v>
      </c>
      <c r="D6" s="43">
        <v>4.5</v>
      </c>
      <c r="E6" s="46">
        <f t="shared" si="1"/>
        <v>440.31478584046243</v>
      </c>
      <c r="F6" s="58">
        <f t="shared" si="2"/>
        <v>440.31478584046243</v>
      </c>
      <c r="G6" s="46">
        <f t="shared" si="0"/>
        <v>-10.314785840462434</v>
      </c>
      <c r="H6" s="3" t="s">
        <v>16</v>
      </c>
      <c r="L6" s="9"/>
    </row>
    <row r="7" spans="1:12" ht="19" thickBot="1" x14ac:dyDescent="0.25">
      <c r="A7" s="7">
        <v>5</v>
      </c>
      <c r="B7" s="39">
        <v>350</v>
      </c>
      <c r="C7" s="8">
        <v>6.8</v>
      </c>
      <c r="D7" s="43">
        <v>3</v>
      </c>
      <c r="E7" s="46">
        <f t="shared" si="1"/>
        <v>359.08845702874333</v>
      </c>
      <c r="F7" s="58">
        <f t="shared" si="2"/>
        <v>359.08845702874333</v>
      </c>
      <c r="G7" s="46">
        <f t="shared" si="0"/>
        <v>-9.0884570287433348</v>
      </c>
    </row>
    <row r="8" spans="1:12" ht="19" thickBot="1" x14ac:dyDescent="0.25">
      <c r="A8" s="7">
        <v>6</v>
      </c>
      <c r="B8" s="39">
        <v>380</v>
      </c>
      <c r="C8" s="8">
        <v>7.5</v>
      </c>
      <c r="D8" s="43">
        <v>4</v>
      </c>
      <c r="E8" s="46">
        <f t="shared" si="1"/>
        <v>415.73685185500545</v>
      </c>
      <c r="F8" s="58">
        <f t="shared" si="2"/>
        <v>415.73685185500545</v>
      </c>
      <c r="G8" s="46">
        <f t="shared" si="0"/>
        <v>-35.736851855005455</v>
      </c>
    </row>
    <row r="9" spans="1:12" ht="19" thickBot="1" x14ac:dyDescent="0.25">
      <c r="A9" s="7">
        <v>7</v>
      </c>
      <c r="B9" s="39">
        <v>430</v>
      </c>
      <c r="C9" s="8">
        <v>4.5</v>
      </c>
      <c r="D9" s="43">
        <v>3</v>
      </c>
      <c r="E9" s="46">
        <f t="shared" si="1"/>
        <v>416.53116291974527</v>
      </c>
      <c r="F9" s="58">
        <f t="shared" si="2"/>
        <v>416.53116291974527</v>
      </c>
      <c r="G9" s="46">
        <f t="shared" si="0"/>
        <v>13.46883708025473</v>
      </c>
    </row>
    <row r="10" spans="1:12" ht="19" thickBot="1" x14ac:dyDescent="0.25">
      <c r="A10" s="7">
        <v>8</v>
      </c>
      <c r="B10" s="39">
        <v>470</v>
      </c>
      <c r="C10" s="8">
        <v>6.4</v>
      </c>
      <c r="D10" s="43">
        <v>3.7</v>
      </c>
      <c r="E10" s="46">
        <f t="shared" si="1"/>
        <v>420.97016307799277</v>
      </c>
      <c r="F10" s="58">
        <f t="shared" si="2"/>
        <v>420.97016307799277</v>
      </c>
      <c r="G10" s="46">
        <f t="shared" si="0"/>
        <v>49.029836922007235</v>
      </c>
    </row>
    <row r="11" spans="1:12" ht="22" thickBot="1" x14ac:dyDescent="0.25">
      <c r="A11" s="7">
        <v>9</v>
      </c>
      <c r="B11" s="39">
        <v>450</v>
      </c>
      <c r="C11" s="8">
        <v>7</v>
      </c>
      <c r="D11" s="43">
        <v>3.5</v>
      </c>
      <c r="E11" s="46">
        <f t="shared" si="1"/>
        <v>391.15891786954842</v>
      </c>
      <c r="F11" s="58">
        <f t="shared" si="2"/>
        <v>391.15891786954842</v>
      </c>
      <c r="G11" s="46">
        <f t="shared" si="0"/>
        <v>58.841082130451582</v>
      </c>
      <c r="I11" s="9" t="s">
        <v>7</v>
      </c>
      <c r="J11" s="9" t="s">
        <v>13</v>
      </c>
      <c r="K11" s="13">
        <f>1/(1-0.0009)</f>
        <v>1.0009008107296566</v>
      </c>
    </row>
    <row r="12" spans="1:12" ht="22" thickBot="1" x14ac:dyDescent="0.25">
      <c r="A12" s="7">
        <v>10</v>
      </c>
      <c r="B12" s="39">
        <v>490</v>
      </c>
      <c r="C12" s="8">
        <v>5</v>
      </c>
      <c r="D12" s="43">
        <v>4</v>
      </c>
      <c r="E12" s="46">
        <f t="shared" si="1"/>
        <v>478.17457564957283</v>
      </c>
      <c r="F12" s="58">
        <f t="shared" si="2"/>
        <v>478.17457564957283</v>
      </c>
      <c r="G12" s="46">
        <f t="shared" si="0"/>
        <v>11.82542435042717</v>
      </c>
      <c r="I12" s="9" t="s">
        <v>7</v>
      </c>
      <c r="J12" s="9" t="s">
        <v>14</v>
      </c>
      <c r="K12" s="13">
        <f>1/(1-0.0009)</f>
        <v>1.0009008107296566</v>
      </c>
    </row>
    <row r="13" spans="1:12" ht="18" x14ac:dyDescent="0.2">
      <c r="A13" s="7">
        <v>11</v>
      </c>
      <c r="B13" s="39">
        <v>340</v>
      </c>
      <c r="C13" s="8">
        <v>7.2</v>
      </c>
      <c r="D13" s="43">
        <v>3.5</v>
      </c>
      <c r="E13" s="46">
        <f t="shared" si="1"/>
        <v>386.16389996598309</v>
      </c>
      <c r="F13" s="58">
        <f t="shared" si="2"/>
        <v>386.16389996598309</v>
      </c>
      <c r="G13" s="46">
        <f t="shared" si="0"/>
        <v>-46.163899965983092</v>
      </c>
    </row>
    <row r="14" spans="1:12" ht="18" x14ac:dyDescent="0.2">
      <c r="A14" s="7">
        <v>12</v>
      </c>
      <c r="B14" s="39">
        <v>300</v>
      </c>
      <c r="C14" s="8">
        <v>7.9</v>
      </c>
      <c r="D14" s="43">
        <v>3.2</v>
      </c>
      <c r="E14" s="46">
        <f t="shared" si="1"/>
        <v>346.4420500568819</v>
      </c>
      <c r="F14" s="46"/>
      <c r="G14" s="46">
        <f t="shared" si="0"/>
        <v>-46.442050056881897</v>
      </c>
    </row>
    <row r="15" spans="1:12" ht="18" x14ac:dyDescent="0.2">
      <c r="A15" s="7">
        <v>13</v>
      </c>
      <c r="B15" s="39">
        <v>440</v>
      </c>
      <c r="C15" s="8">
        <v>5.9</v>
      </c>
      <c r="D15" s="43">
        <v>4</v>
      </c>
      <c r="E15" s="46">
        <f t="shared" si="1"/>
        <v>455.69699508352858</v>
      </c>
      <c r="F15" s="46"/>
      <c r="G15" s="46">
        <f t="shared" si="0"/>
        <v>-15.696995083528577</v>
      </c>
    </row>
    <row r="16" spans="1:12" ht="18" x14ac:dyDescent="0.2">
      <c r="A16" s="7">
        <v>14</v>
      </c>
      <c r="B16" s="39">
        <v>450</v>
      </c>
      <c r="C16" s="8">
        <v>5</v>
      </c>
      <c r="D16" s="43">
        <v>3.5</v>
      </c>
      <c r="E16" s="46">
        <f t="shared" si="1"/>
        <v>441.10909690520236</v>
      </c>
      <c r="F16" s="46"/>
      <c r="G16" s="46">
        <f t="shared" si="0"/>
        <v>8.8909030947976362</v>
      </c>
    </row>
    <row r="17" spans="1:7" ht="19" thickBot="1" x14ac:dyDescent="0.25">
      <c r="A17" s="10">
        <v>15</v>
      </c>
      <c r="B17" s="40">
        <v>300</v>
      </c>
      <c r="C17" s="11">
        <v>7</v>
      </c>
      <c r="D17" s="44">
        <v>2.7</v>
      </c>
      <c r="E17" s="47">
        <f t="shared" si="1"/>
        <v>331.85415187855568</v>
      </c>
      <c r="F17" s="47"/>
      <c r="G17" s="47">
        <f t="shared" si="0"/>
        <v>-31.854151878555683</v>
      </c>
    </row>
    <row r="18" spans="1:7" ht="17" thickTop="1" x14ac:dyDescent="0.2"/>
    <row r="20" spans="1:7" ht="19" thickBot="1" x14ac:dyDescent="0.25">
      <c r="C20" s="11">
        <f>+CORREL(C3:C17,D3:D17)</f>
        <v>-0.5237494247902047</v>
      </c>
      <c r="D20" s="3" t="s">
        <v>8</v>
      </c>
    </row>
    <row r="21" spans="1:7" ht="20" thickTop="1" thickBot="1" x14ac:dyDescent="0.25">
      <c r="C21" s="11">
        <f>+C20^2</f>
        <v>0.27431345996807027</v>
      </c>
      <c r="D21" s="3" t="s">
        <v>9</v>
      </c>
    </row>
    <row r="22" spans="1:7" ht="17" thickTop="1" x14ac:dyDescent="0.2"/>
  </sheetData>
  <mergeCells count="1">
    <mergeCell ref="A1:A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539BC-597D-2144-B24D-6725781B5A8C}">
  <dimension ref="B1:I10"/>
  <sheetViews>
    <sheetView workbookViewId="0">
      <selection activeCell="B2" sqref="B2:B9"/>
    </sheetView>
  </sheetViews>
  <sheetFormatPr baseColWidth="10" defaultRowHeight="39" x14ac:dyDescent="0.45"/>
  <cols>
    <col min="1" max="1" width="10.83203125" style="50"/>
    <col min="2" max="2" width="25.1640625" style="50" bestFit="1" customWidth="1"/>
    <col min="3" max="3" width="28.83203125" style="50" customWidth="1"/>
    <col min="4" max="5" width="10.83203125" style="50"/>
    <col min="6" max="6" width="10.83203125" style="51"/>
    <col min="7" max="7" width="25.1640625" style="51" customWidth="1"/>
    <col min="8" max="16384" width="10.83203125" style="50"/>
  </cols>
  <sheetData>
    <row r="1" spans="2:9" ht="47" customHeight="1" x14ac:dyDescent="0.45">
      <c r="B1" s="50" t="s">
        <v>144</v>
      </c>
      <c r="C1" s="50" t="s">
        <v>148</v>
      </c>
      <c r="F1" s="51" t="s">
        <v>145</v>
      </c>
      <c r="G1" s="51" t="s">
        <v>146</v>
      </c>
      <c r="I1" s="50" t="s">
        <v>147</v>
      </c>
    </row>
    <row r="2" spans="2:9" x14ac:dyDescent="0.45">
      <c r="B2" s="50">
        <v>45</v>
      </c>
      <c r="C2" s="50">
        <v>1</v>
      </c>
      <c r="F2" s="51">
        <v>0</v>
      </c>
      <c r="G2" s="51">
        <f>3/100</f>
        <v>0.03</v>
      </c>
    </row>
    <row r="3" spans="2:9" x14ac:dyDescent="0.45">
      <c r="B3" s="50">
        <v>46</v>
      </c>
      <c r="C3" s="50">
        <v>2</v>
      </c>
      <c r="F3" s="51">
        <v>1</v>
      </c>
      <c r="G3" s="51">
        <f>1/100</f>
        <v>0.01</v>
      </c>
    </row>
    <row r="4" spans="2:9" x14ac:dyDescent="0.45">
      <c r="B4" s="50">
        <v>50</v>
      </c>
      <c r="C4" s="50">
        <v>3</v>
      </c>
      <c r="F4" s="51">
        <v>2</v>
      </c>
      <c r="G4" s="51">
        <f>5/100</f>
        <v>0.05</v>
      </c>
    </row>
    <row r="5" spans="2:9" x14ac:dyDescent="0.45">
      <c r="B5" s="50">
        <v>52</v>
      </c>
      <c r="C5" s="50">
        <v>1</v>
      </c>
      <c r="F5" s="51">
        <v>3</v>
      </c>
    </row>
    <row r="6" spans="2:9" x14ac:dyDescent="0.45">
      <c r="B6" s="50">
        <v>53</v>
      </c>
      <c r="C6" s="50">
        <v>5</v>
      </c>
      <c r="F6" s="51">
        <v>4</v>
      </c>
    </row>
    <row r="7" spans="2:9" x14ac:dyDescent="0.45">
      <c r="B7" s="50">
        <v>56</v>
      </c>
      <c r="C7" s="50">
        <v>2</v>
      </c>
      <c r="F7" s="51">
        <v>5</v>
      </c>
    </row>
    <row r="8" spans="2:9" x14ac:dyDescent="0.45">
      <c r="B8" s="50">
        <v>57</v>
      </c>
      <c r="C8" s="50">
        <v>1</v>
      </c>
    </row>
    <row r="9" spans="2:9" x14ac:dyDescent="0.45">
      <c r="B9" s="50">
        <v>58</v>
      </c>
      <c r="C9" s="50">
        <v>2</v>
      </c>
    </row>
    <row r="10" spans="2:9" x14ac:dyDescent="0.45">
      <c r="C10" s="50">
        <f>SUM(C2:C9)</f>
        <v>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06A56-37D5-934A-8763-7436B8478891}">
  <dimension ref="A1:C18"/>
  <sheetViews>
    <sheetView workbookViewId="0">
      <selection activeCell="D13" sqref="D13"/>
    </sheetView>
  </sheetViews>
  <sheetFormatPr baseColWidth="10" defaultRowHeight="16" x14ac:dyDescent="0.2"/>
  <cols>
    <col min="3" max="3" width="23.6640625" customWidth="1"/>
  </cols>
  <sheetData>
    <row r="1" spans="1:3" ht="40" thickTop="1" thickBot="1" x14ac:dyDescent="0.25">
      <c r="B1" s="1" t="s">
        <v>113</v>
      </c>
      <c r="C1" s="37" t="s">
        <v>6</v>
      </c>
    </row>
    <row r="2" spans="1:3" ht="18" x14ac:dyDescent="0.2">
      <c r="A2" t="s">
        <v>114</v>
      </c>
      <c r="B2" s="5">
        <v>5.5</v>
      </c>
      <c r="C2" s="38">
        <v>350</v>
      </c>
    </row>
    <row r="3" spans="1:3" ht="18" x14ac:dyDescent="0.2">
      <c r="A3" t="s">
        <v>115</v>
      </c>
      <c r="B3" s="8">
        <v>7.5</v>
      </c>
      <c r="C3" s="39">
        <v>460</v>
      </c>
    </row>
    <row r="4" spans="1:3" ht="18" x14ac:dyDescent="0.2">
      <c r="A4" t="s">
        <v>116</v>
      </c>
      <c r="B4" s="8">
        <v>8</v>
      </c>
      <c r="C4" s="39">
        <v>350</v>
      </c>
    </row>
    <row r="5" spans="1:3" ht="18" x14ac:dyDescent="0.2">
      <c r="A5" t="s">
        <v>117</v>
      </c>
      <c r="B5" s="8">
        <v>8</v>
      </c>
      <c r="C5" s="39">
        <v>430</v>
      </c>
    </row>
    <row r="6" spans="1:3" ht="18" x14ac:dyDescent="0.2">
      <c r="A6" t="s">
        <v>118</v>
      </c>
      <c r="B6" s="8">
        <v>6.8</v>
      </c>
      <c r="C6" s="39">
        <v>350</v>
      </c>
    </row>
    <row r="7" spans="1:3" ht="18" x14ac:dyDescent="0.2">
      <c r="A7" t="s">
        <v>119</v>
      </c>
      <c r="B7" s="8">
        <v>7.5</v>
      </c>
      <c r="C7" s="39">
        <v>380</v>
      </c>
    </row>
    <row r="8" spans="1:3" ht="18" x14ac:dyDescent="0.2">
      <c r="A8" t="s">
        <v>120</v>
      </c>
      <c r="B8" s="8">
        <v>4.5</v>
      </c>
      <c r="C8" s="39">
        <v>430</v>
      </c>
    </row>
    <row r="9" spans="1:3" ht="18" x14ac:dyDescent="0.2">
      <c r="A9" t="s">
        <v>121</v>
      </c>
      <c r="B9" s="8">
        <v>6.4</v>
      </c>
      <c r="C9" s="39">
        <v>470</v>
      </c>
    </row>
    <row r="10" spans="1:3" ht="18" x14ac:dyDescent="0.2">
      <c r="A10" t="s">
        <v>122</v>
      </c>
      <c r="B10" s="8">
        <v>7</v>
      </c>
      <c r="C10" s="39">
        <v>450</v>
      </c>
    </row>
    <row r="11" spans="1:3" ht="18" x14ac:dyDescent="0.2">
      <c r="A11" t="s">
        <v>123</v>
      </c>
      <c r="B11" s="8">
        <v>5</v>
      </c>
      <c r="C11" s="39">
        <v>490</v>
      </c>
    </row>
    <row r="12" spans="1:3" ht="18" x14ac:dyDescent="0.2">
      <c r="A12" t="s">
        <v>124</v>
      </c>
      <c r="B12" s="8">
        <v>7.2</v>
      </c>
      <c r="C12" s="39">
        <v>340</v>
      </c>
    </row>
    <row r="13" spans="1:3" ht="18" x14ac:dyDescent="0.2">
      <c r="A13" t="s">
        <v>125</v>
      </c>
      <c r="B13" s="8">
        <v>7.9</v>
      </c>
      <c r="C13" s="39">
        <v>300</v>
      </c>
    </row>
    <row r="14" spans="1:3" ht="18" x14ac:dyDescent="0.2">
      <c r="A14" t="s">
        <v>126</v>
      </c>
      <c r="B14" s="8">
        <v>5.9</v>
      </c>
      <c r="C14" s="39">
        <v>440</v>
      </c>
    </row>
    <row r="15" spans="1:3" ht="18" x14ac:dyDescent="0.2">
      <c r="A15" t="s">
        <v>127</v>
      </c>
      <c r="B15" s="8">
        <v>5</v>
      </c>
      <c r="C15" s="39">
        <v>450</v>
      </c>
    </row>
    <row r="16" spans="1:3" ht="19" thickBot="1" x14ac:dyDescent="0.25">
      <c r="A16" t="s">
        <v>128</v>
      </c>
      <c r="B16" s="11">
        <v>7</v>
      </c>
      <c r="C16" s="40">
        <v>300</v>
      </c>
    </row>
    <row r="17" spans="1:3" ht="20" thickTop="1" thickBot="1" x14ac:dyDescent="0.25">
      <c r="A17" s="21" t="s">
        <v>129</v>
      </c>
      <c r="B17" s="48">
        <v>7.2</v>
      </c>
      <c r="C17" s="49">
        <f>-24.034*B17 + 558.28</f>
        <v>385.23519999999996</v>
      </c>
    </row>
    <row r="18" spans="1:3" ht="17" thickTop="1" x14ac:dyDescent="0.2"/>
  </sheetData>
  <phoneticPr fontId="3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20B76-6BD5-EC45-A253-0509A28AB2F0}">
  <dimension ref="A1:K9"/>
  <sheetViews>
    <sheetView workbookViewId="0">
      <selection activeCell="G9" sqref="G9"/>
    </sheetView>
  </sheetViews>
  <sheetFormatPr baseColWidth="10" defaultRowHeight="39" x14ac:dyDescent="0.45"/>
  <cols>
    <col min="1" max="2" width="10.83203125" style="51"/>
    <col min="3" max="5" width="10.83203125" style="50"/>
    <col min="6" max="6" width="31.33203125" style="50" bestFit="1" customWidth="1"/>
    <col min="7" max="7" width="51" style="50" customWidth="1"/>
    <col min="8" max="16384" width="10.83203125" style="50"/>
  </cols>
  <sheetData>
    <row r="1" spans="2:11" x14ac:dyDescent="0.45">
      <c r="B1" s="51" t="s">
        <v>131</v>
      </c>
      <c r="C1" s="51" t="s">
        <v>130</v>
      </c>
      <c r="D1" s="50" t="s">
        <v>138</v>
      </c>
      <c r="E1" s="50" t="s">
        <v>139</v>
      </c>
      <c r="F1" s="50" t="s">
        <v>140</v>
      </c>
      <c r="G1" s="50" t="s">
        <v>132</v>
      </c>
      <c r="I1" s="50" t="s">
        <v>133</v>
      </c>
      <c r="K1" s="50" t="s">
        <v>134</v>
      </c>
    </row>
    <row r="2" spans="2:11" ht="44" x14ac:dyDescent="0.45">
      <c r="B2" s="52">
        <v>3</v>
      </c>
      <c r="C2" s="51">
        <f>3+B2*-5</f>
        <v>-12</v>
      </c>
      <c r="D2" s="50">
        <f>+B2-$B$8</f>
        <v>-1.5</v>
      </c>
      <c r="E2" s="50">
        <f>+C2-$C$8</f>
        <v>7.5</v>
      </c>
      <c r="F2" s="50">
        <f>+D2*E2</f>
        <v>-11.25</v>
      </c>
      <c r="G2" s="50">
        <f>+CORREL(B2:B7,C2:C7)</f>
        <v>-0.99999999999999989</v>
      </c>
      <c r="H2" s="50" t="s">
        <v>8</v>
      </c>
      <c r="J2" s="50" t="s">
        <v>135</v>
      </c>
      <c r="K2" s="50">
        <f>+G2^2</f>
        <v>0.99999999999999978</v>
      </c>
    </row>
    <row r="3" spans="2:11" x14ac:dyDescent="0.45">
      <c r="B3" s="52">
        <v>4</v>
      </c>
      <c r="C3" s="51">
        <f t="shared" ref="C3:C7" si="0">3+B3*-5</f>
        <v>-17</v>
      </c>
      <c r="D3" s="50">
        <f t="shared" ref="D3:D7" si="1">+B3-$B$8</f>
        <v>-0.5</v>
      </c>
      <c r="E3" s="50">
        <f t="shared" ref="E3:E7" si="2">+C3-$C$8</f>
        <v>2.5</v>
      </c>
      <c r="F3" s="50">
        <f t="shared" ref="F3:F7" si="3">+D3*E3</f>
        <v>-1.25</v>
      </c>
      <c r="G3" s="50">
        <v>-1</v>
      </c>
      <c r="H3" s="50">
        <v>1</v>
      </c>
    </row>
    <row r="4" spans="2:11" x14ac:dyDescent="0.45">
      <c r="B4" s="52">
        <v>7</v>
      </c>
      <c r="C4" s="51">
        <f t="shared" si="0"/>
        <v>-32</v>
      </c>
      <c r="D4" s="50">
        <f t="shared" si="1"/>
        <v>2.5</v>
      </c>
      <c r="E4" s="50">
        <f t="shared" si="2"/>
        <v>-12.5</v>
      </c>
      <c r="F4" s="50">
        <f t="shared" si="3"/>
        <v>-31.25</v>
      </c>
      <c r="G4" s="50" t="s">
        <v>136</v>
      </c>
      <c r="H4" s="50" t="s">
        <v>137</v>
      </c>
    </row>
    <row r="5" spans="2:11" x14ac:dyDescent="0.45">
      <c r="B5" s="52">
        <v>8</v>
      </c>
      <c r="C5" s="51">
        <f t="shared" si="0"/>
        <v>-37</v>
      </c>
      <c r="D5" s="50">
        <f t="shared" si="1"/>
        <v>3.5</v>
      </c>
      <c r="E5" s="50">
        <f t="shared" si="2"/>
        <v>-17.5</v>
      </c>
      <c r="F5" s="50">
        <f t="shared" si="3"/>
        <v>-61.25</v>
      </c>
    </row>
    <row r="6" spans="2:11" x14ac:dyDescent="0.45">
      <c r="B6" s="52">
        <v>3</v>
      </c>
      <c r="C6" s="51">
        <f t="shared" si="0"/>
        <v>-12</v>
      </c>
      <c r="D6" s="50">
        <f t="shared" si="1"/>
        <v>-1.5</v>
      </c>
      <c r="E6" s="50">
        <f t="shared" si="2"/>
        <v>7.5</v>
      </c>
      <c r="F6" s="50">
        <f t="shared" si="3"/>
        <v>-11.25</v>
      </c>
    </row>
    <row r="7" spans="2:11" x14ac:dyDescent="0.45">
      <c r="B7" s="52">
        <v>2</v>
      </c>
      <c r="C7" s="51">
        <f t="shared" si="0"/>
        <v>-7</v>
      </c>
      <c r="D7" s="50">
        <f t="shared" si="1"/>
        <v>-2.5</v>
      </c>
      <c r="E7" s="50">
        <f t="shared" si="2"/>
        <v>12.5</v>
      </c>
      <c r="F7" s="50">
        <f t="shared" si="3"/>
        <v>-31.25</v>
      </c>
    </row>
    <row r="8" spans="2:11" x14ac:dyDescent="0.45">
      <c r="B8" s="51">
        <f>+AVERAGE(B2:B7)</f>
        <v>4.5</v>
      </c>
      <c r="C8" s="51">
        <f>+AVERAGE(C2:C7)</f>
        <v>-19.5</v>
      </c>
      <c r="F8" s="54">
        <f>+SUM(F2:F7)/6</f>
        <v>-24.583333333333332</v>
      </c>
    </row>
    <row r="9" spans="2:11" x14ac:dyDescent="0.45">
      <c r="D9" s="53">
        <f>+COVAR(B2:B7,C2:C7)</f>
        <v>-24.583333333333332</v>
      </c>
      <c r="E9" s="50" t="s">
        <v>141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373E4-7ACD-3349-A6A2-ABB46B983926}">
  <dimension ref="B1:L17"/>
  <sheetViews>
    <sheetView zoomScale="144" zoomScaleNormal="144" workbookViewId="0">
      <selection activeCell="B1" sqref="B1"/>
    </sheetView>
  </sheetViews>
  <sheetFormatPr baseColWidth="10" defaultRowHeight="16" x14ac:dyDescent="0.2"/>
  <cols>
    <col min="2" max="2" width="10" bestFit="1" customWidth="1"/>
  </cols>
  <sheetData>
    <row r="1" spans="2:12" ht="42" thickTop="1" thickBot="1" x14ac:dyDescent="0.35">
      <c r="B1" s="2" t="s">
        <v>2</v>
      </c>
      <c r="C1" s="14" t="s">
        <v>6</v>
      </c>
      <c r="J1" s="24">
        <f xml:space="preserve"> 72.309*7+ 147.7</f>
        <v>653.86300000000006</v>
      </c>
      <c r="K1" s="24">
        <f xml:space="preserve"> 72.309*8+ 147.7</f>
        <v>726.17200000000003</v>
      </c>
      <c r="L1" s="25">
        <f>+K1-J1</f>
        <v>72.308999999999969</v>
      </c>
    </row>
    <row r="2" spans="2:12" ht="18" x14ac:dyDescent="0.2">
      <c r="B2" s="6">
        <v>3.3</v>
      </c>
      <c r="C2" s="5">
        <v>350</v>
      </c>
      <c r="F2">
        <f>+CORREL(B2:B16,C2:C16)</f>
        <v>0.55631985716811705</v>
      </c>
    </row>
    <row r="3" spans="2:12" ht="18" x14ac:dyDescent="0.2">
      <c r="B3" s="9">
        <v>3.3</v>
      </c>
      <c r="C3" s="8">
        <v>460</v>
      </c>
    </row>
    <row r="4" spans="2:12" ht="18" x14ac:dyDescent="0.2">
      <c r="B4" s="9">
        <v>3</v>
      </c>
      <c r="C4" s="8">
        <v>350</v>
      </c>
    </row>
    <row r="5" spans="2:12" ht="18" x14ac:dyDescent="0.2">
      <c r="B5" s="9">
        <v>4.5</v>
      </c>
      <c r="C5" s="8">
        <v>430</v>
      </c>
    </row>
    <row r="6" spans="2:12" ht="18" x14ac:dyDescent="0.2">
      <c r="B6" s="9">
        <v>3</v>
      </c>
      <c r="C6" s="8">
        <v>350</v>
      </c>
    </row>
    <row r="7" spans="2:12" ht="18" x14ac:dyDescent="0.2">
      <c r="B7" s="9">
        <v>4</v>
      </c>
      <c r="C7" s="8">
        <v>380</v>
      </c>
    </row>
    <row r="8" spans="2:12" ht="18" x14ac:dyDescent="0.2">
      <c r="B8" s="9">
        <v>3</v>
      </c>
      <c r="C8" s="8">
        <v>430</v>
      </c>
    </row>
    <row r="9" spans="2:12" ht="18" x14ac:dyDescent="0.2">
      <c r="B9" s="9">
        <v>3.7</v>
      </c>
      <c r="C9" s="8">
        <v>470</v>
      </c>
    </row>
    <row r="10" spans="2:12" ht="18" x14ac:dyDescent="0.2">
      <c r="B10" s="9">
        <v>3.5</v>
      </c>
      <c r="C10" s="8">
        <v>450</v>
      </c>
    </row>
    <row r="11" spans="2:12" ht="18" x14ac:dyDescent="0.2">
      <c r="B11" s="9">
        <v>4</v>
      </c>
      <c r="C11" s="8">
        <v>490</v>
      </c>
    </row>
    <row r="12" spans="2:12" ht="18" x14ac:dyDescent="0.2">
      <c r="B12" s="9">
        <v>3.5</v>
      </c>
      <c r="C12" s="8">
        <v>340</v>
      </c>
    </row>
    <row r="13" spans="2:12" ht="18" x14ac:dyDescent="0.2">
      <c r="B13" s="9">
        <v>3.2</v>
      </c>
      <c r="C13" s="8">
        <v>300</v>
      </c>
    </row>
    <row r="14" spans="2:12" ht="18" x14ac:dyDescent="0.2">
      <c r="B14" s="9">
        <v>4</v>
      </c>
      <c r="C14" s="8">
        <v>440</v>
      </c>
    </row>
    <row r="15" spans="2:12" ht="18" x14ac:dyDescent="0.2">
      <c r="B15" s="9">
        <v>3.5</v>
      </c>
      <c r="C15" s="8">
        <v>450</v>
      </c>
    </row>
    <row r="16" spans="2:12" ht="19" thickBot="1" x14ac:dyDescent="0.25">
      <c r="B16" s="12">
        <v>2.7</v>
      </c>
      <c r="C16" s="11">
        <v>300</v>
      </c>
    </row>
    <row r="17" ht="17" thickTop="1" x14ac:dyDescent="0.2"/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5C6CF-3908-BE4B-9DD5-4DB20409A044}">
  <dimension ref="B1:L18"/>
  <sheetViews>
    <sheetView topLeftCell="A2" zoomScale="205" zoomScaleNormal="205" workbookViewId="0">
      <selection activeCell="B1" sqref="B1"/>
    </sheetView>
  </sheetViews>
  <sheetFormatPr baseColWidth="10" defaultRowHeight="16" x14ac:dyDescent="0.2"/>
  <sheetData>
    <row r="1" spans="2:12" ht="40" thickTop="1" thickBot="1" x14ac:dyDescent="0.25">
      <c r="B1" s="1" t="s">
        <v>1</v>
      </c>
      <c r="C1" s="14" t="s">
        <v>6</v>
      </c>
    </row>
    <row r="2" spans="2:12" ht="18" x14ac:dyDescent="0.2">
      <c r="B2" s="5">
        <v>5.5</v>
      </c>
      <c r="C2" s="5">
        <v>350</v>
      </c>
      <c r="D2">
        <f>+CORREL(B2:B16,C2:C16)</f>
        <v>-0.44327318273872068</v>
      </c>
      <c r="E2" s="26">
        <f>+D2^2</f>
        <v>0.19649111453531526</v>
      </c>
      <c r="F2">
        <f>F14</f>
        <v>0</v>
      </c>
    </row>
    <row r="3" spans="2:12" ht="18" x14ac:dyDescent="0.2">
      <c r="B3" s="8">
        <v>7.5</v>
      </c>
      <c r="C3" s="8">
        <v>460</v>
      </c>
    </row>
    <row r="4" spans="2:12" ht="18" x14ac:dyDescent="0.2">
      <c r="B4" s="8">
        <v>8</v>
      </c>
      <c r="C4" s="8">
        <v>350</v>
      </c>
      <c r="D4">
        <v>-1</v>
      </c>
      <c r="E4">
        <v>1</v>
      </c>
    </row>
    <row r="5" spans="2:12" ht="18" x14ac:dyDescent="0.2">
      <c r="B5" s="8">
        <v>8</v>
      </c>
      <c r="C5" s="8">
        <v>430</v>
      </c>
    </row>
    <row r="6" spans="2:12" ht="18" x14ac:dyDescent="0.2">
      <c r="B6" s="8">
        <v>6.8</v>
      </c>
      <c r="C6" s="8">
        <v>350</v>
      </c>
    </row>
    <row r="7" spans="2:12" ht="18" x14ac:dyDescent="0.2">
      <c r="B7" s="8">
        <v>7.5</v>
      </c>
      <c r="C7" s="8">
        <v>380</v>
      </c>
    </row>
    <row r="8" spans="2:12" ht="18" x14ac:dyDescent="0.2">
      <c r="B8" s="8">
        <v>4.5</v>
      </c>
      <c r="C8" s="8">
        <v>430</v>
      </c>
    </row>
    <row r="9" spans="2:12" ht="18" x14ac:dyDescent="0.2">
      <c r="B9" s="8">
        <v>6.4</v>
      </c>
      <c r="C9" s="8">
        <v>470</v>
      </c>
    </row>
    <row r="10" spans="2:12" ht="18" x14ac:dyDescent="0.2">
      <c r="B10" s="8">
        <v>7</v>
      </c>
      <c r="C10" s="8">
        <v>450</v>
      </c>
    </row>
    <row r="11" spans="2:12" ht="18" x14ac:dyDescent="0.2">
      <c r="B11" s="8">
        <v>5</v>
      </c>
      <c r="C11" s="8">
        <v>490</v>
      </c>
    </row>
    <row r="12" spans="2:12" ht="18" x14ac:dyDescent="0.2">
      <c r="B12" s="8">
        <v>7.2</v>
      </c>
      <c r="C12" s="8">
        <v>340</v>
      </c>
    </row>
    <row r="13" spans="2:12" ht="18" x14ac:dyDescent="0.2">
      <c r="B13" s="8">
        <v>7.9</v>
      </c>
      <c r="C13" s="8">
        <v>300</v>
      </c>
    </row>
    <row r="14" spans="2:12" ht="26" x14ac:dyDescent="0.3">
      <c r="B14" s="8">
        <v>5.9</v>
      </c>
      <c r="C14" s="8">
        <v>440</v>
      </c>
      <c r="I14" s="19" t="s">
        <v>74</v>
      </c>
    </row>
    <row r="15" spans="2:12" ht="18" x14ac:dyDescent="0.2">
      <c r="B15" s="8">
        <v>5</v>
      </c>
      <c r="C15" s="8">
        <v>450</v>
      </c>
      <c r="I15" t="s">
        <v>76</v>
      </c>
    </row>
    <row r="16" spans="2:12" ht="27" thickBot="1" x14ac:dyDescent="0.35">
      <c r="B16" s="11">
        <v>7</v>
      </c>
      <c r="C16" s="11">
        <v>300</v>
      </c>
      <c r="I16" s="19">
        <f xml:space="preserve"> -24.034*7 + 558.28</f>
        <v>390.04199999999997</v>
      </c>
      <c r="J16" s="19">
        <f xml:space="preserve"> -24.034*8 + 558.28</f>
        <v>366.00799999999998</v>
      </c>
      <c r="L16">
        <f>+I16-J16</f>
        <v>24.033999999999992</v>
      </c>
    </row>
    <row r="17" spans="8:9" ht="17" thickTop="1" x14ac:dyDescent="0.2"/>
    <row r="18" spans="8:9" x14ac:dyDescent="0.2">
      <c r="H18" t="s">
        <v>75</v>
      </c>
      <c r="I18">
        <f>-24.034 *1+ 558.28</f>
        <v>534.24599999999998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62D15-7061-8341-94AD-B36B82D99027}">
  <dimension ref="A1:I40"/>
  <sheetViews>
    <sheetView workbookViewId="0">
      <selection activeCell="D2" sqref="D2"/>
    </sheetView>
  </sheetViews>
  <sheetFormatPr baseColWidth="10" defaultRowHeight="21" x14ac:dyDescent="0.25"/>
  <cols>
    <col min="1" max="1" width="25.6640625" style="15" bestFit="1" customWidth="1"/>
    <col min="2" max="2" width="23.1640625" style="15" bestFit="1" customWidth="1"/>
    <col min="3" max="3" width="18.83203125" style="15" bestFit="1" customWidth="1"/>
    <col min="4" max="4" width="62" style="15" customWidth="1"/>
    <col min="5" max="5" width="27.33203125" style="15" bestFit="1" customWidth="1"/>
    <col min="6" max="6" width="18.83203125" style="15" bestFit="1" customWidth="1"/>
    <col min="7" max="7" width="17.6640625" style="15" bestFit="1" customWidth="1"/>
    <col min="8" max="8" width="18.6640625" style="15" bestFit="1" customWidth="1"/>
    <col min="9" max="9" width="19.6640625" style="15" bestFit="1" customWidth="1"/>
    <col min="10" max="16384" width="10.83203125" style="15"/>
  </cols>
  <sheetData>
    <row r="1" spans="1:9" ht="26" x14ac:dyDescent="0.3">
      <c r="A1" s="15" t="s">
        <v>17</v>
      </c>
      <c r="E1" s="19" t="s">
        <v>77</v>
      </c>
      <c r="F1" s="19"/>
      <c r="G1" s="19"/>
    </row>
    <row r="2" spans="1:9" ht="27" thickBot="1" x14ac:dyDescent="0.35">
      <c r="E2" s="19" t="s">
        <v>78</v>
      </c>
      <c r="F2" s="19"/>
      <c r="G2" s="19"/>
    </row>
    <row r="3" spans="1:9" ht="26" x14ac:dyDescent="0.3">
      <c r="A3" s="16" t="s">
        <v>18</v>
      </c>
      <c r="B3" s="16"/>
      <c r="E3" s="19"/>
      <c r="F3" s="19"/>
      <c r="G3" s="19"/>
    </row>
    <row r="4" spans="1:9" ht="26" x14ac:dyDescent="0.3">
      <c r="A4" s="15" t="s">
        <v>29</v>
      </c>
      <c r="B4" s="15">
        <v>0.722134292240182</v>
      </c>
      <c r="E4" s="19">
        <f>306.53-24.96*7+74.13*4</f>
        <v>428.32999999999993</v>
      </c>
      <c r="F4" s="19">
        <f>+E5-E4</f>
        <v>74.13</v>
      </c>
      <c r="G4" s="19"/>
    </row>
    <row r="5" spans="1:9" ht="26" x14ac:dyDescent="0.3">
      <c r="A5" s="27" t="s">
        <v>28</v>
      </c>
      <c r="B5" s="27">
        <v>0.52147793602922865</v>
      </c>
      <c r="C5" s="15" t="s">
        <v>79</v>
      </c>
      <c r="D5" s="15" t="s">
        <v>80</v>
      </c>
      <c r="E5" s="19">
        <f>306.53-24.96*7+74.13*5</f>
        <v>502.45999999999992</v>
      </c>
      <c r="F5" s="19"/>
      <c r="G5" s="19"/>
    </row>
    <row r="6" spans="1:9" x14ac:dyDescent="0.25">
      <c r="A6" s="15" t="s">
        <v>25</v>
      </c>
      <c r="B6" s="15">
        <v>0.44172425870076676</v>
      </c>
    </row>
    <row r="7" spans="1:9" x14ac:dyDescent="0.25">
      <c r="A7" s="15" t="s">
        <v>26</v>
      </c>
      <c r="B7" s="15">
        <v>47.463412634764822</v>
      </c>
    </row>
    <row r="8" spans="1:9" ht="22" thickBot="1" x14ac:dyDescent="0.3">
      <c r="A8" s="17" t="s">
        <v>27</v>
      </c>
      <c r="B8" s="17">
        <v>15</v>
      </c>
    </row>
    <row r="10" spans="1:9" ht="22" thickBot="1" x14ac:dyDescent="0.3">
      <c r="A10" s="15" t="s">
        <v>30</v>
      </c>
    </row>
    <row r="11" spans="1:9" x14ac:dyDescent="0.25">
      <c r="A11" s="18"/>
      <c r="B11" s="18" t="s">
        <v>34</v>
      </c>
      <c r="C11" s="18" t="s">
        <v>19</v>
      </c>
      <c r="D11" s="18" t="s">
        <v>20</v>
      </c>
      <c r="E11" s="18" t="s">
        <v>21</v>
      </c>
      <c r="F11" s="18" t="s">
        <v>64</v>
      </c>
    </row>
    <row r="12" spans="1:9" x14ac:dyDescent="0.25">
      <c r="A12" s="15" t="s">
        <v>31</v>
      </c>
      <c r="B12" s="15" t="s">
        <v>37</v>
      </c>
      <c r="C12" s="15">
        <v>29460.026866077889</v>
      </c>
      <c r="D12" s="15">
        <f>+C12/2</f>
        <v>14730.013433038945</v>
      </c>
      <c r="E12" s="15">
        <f>+D12/D13</f>
        <v>6.5386067890204682</v>
      </c>
      <c r="F12" s="15">
        <v>1.2006372233186397E-2</v>
      </c>
    </row>
    <row r="13" spans="1:9" x14ac:dyDescent="0.25">
      <c r="A13" s="15" t="s">
        <v>32</v>
      </c>
      <c r="B13" s="15" t="s">
        <v>36</v>
      </c>
      <c r="C13" s="15">
        <v>27033.306467255439</v>
      </c>
      <c r="D13" s="15">
        <f>+C13/12</f>
        <v>2252.7755389379531</v>
      </c>
    </row>
    <row r="14" spans="1:9" ht="22" thickBot="1" x14ac:dyDescent="0.3">
      <c r="A14" s="17" t="s">
        <v>33</v>
      </c>
      <c r="B14" s="17" t="s">
        <v>35</v>
      </c>
      <c r="C14" s="17">
        <v>56493.333333333328</v>
      </c>
      <c r="D14" s="17"/>
      <c r="E14" s="17"/>
      <c r="F14" s="17"/>
    </row>
    <row r="15" spans="1:9" ht="22" thickBot="1" x14ac:dyDescent="0.3"/>
    <row r="16" spans="1:9" x14ac:dyDescent="0.25">
      <c r="A16" s="18"/>
      <c r="B16" s="18" t="s">
        <v>38</v>
      </c>
      <c r="C16" s="18" t="s">
        <v>39</v>
      </c>
      <c r="D16" s="18" t="s">
        <v>22</v>
      </c>
      <c r="E16" s="18" t="s">
        <v>65</v>
      </c>
      <c r="F16" s="18"/>
      <c r="G16" s="18"/>
      <c r="H16" s="18"/>
      <c r="I16" s="18"/>
    </row>
    <row r="17" spans="1:9" x14ac:dyDescent="0.25">
      <c r="A17" s="15" t="s">
        <v>68</v>
      </c>
      <c r="B17" s="27">
        <v>306.52619328374368</v>
      </c>
      <c r="C17" s="15">
        <v>114.25389351049147</v>
      </c>
      <c r="D17" s="15">
        <f>+B17/C17</f>
        <v>2.6828511822714964</v>
      </c>
      <c r="E17" s="15">
        <v>1.9931590985369695E-2</v>
      </c>
    </row>
    <row r="18" spans="1:9" x14ac:dyDescent="0.25">
      <c r="A18" s="15" t="s">
        <v>1</v>
      </c>
      <c r="B18" s="28">
        <v>-24.975089517826945</v>
      </c>
      <c r="C18" s="15">
        <v>10.832125119411648</v>
      </c>
      <c r="D18" s="15">
        <v>-2.3056500218106306</v>
      </c>
      <c r="E18" s="15">
        <v>3.9788461178665177E-2</v>
      </c>
    </row>
    <row r="19" spans="1:9" ht="22" thickBot="1" x14ac:dyDescent="0.3">
      <c r="A19" s="17" t="s">
        <v>2</v>
      </c>
      <c r="B19" s="29">
        <v>74.130957488740961</v>
      </c>
      <c r="C19" s="17">
        <v>25.967317917939091</v>
      </c>
      <c r="D19" s="17">
        <v>2.854779139031868</v>
      </c>
      <c r="E19" s="17">
        <v>1.449362679645921E-2</v>
      </c>
      <c r="F19" s="17"/>
      <c r="G19" s="17"/>
      <c r="H19" s="17"/>
      <c r="I19" s="17"/>
    </row>
    <row r="21" spans="1:9" x14ac:dyDescent="0.25">
      <c r="B21" s="15" t="s">
        <v>66</v>
      </c>
      <c r="E21" s="15" t="s">
        <v>40</v>
      </c>
      <c r="F21" s="15" t="s">
        <v>41</v>
      </c>
    </row>
    <row r="22" spans="1:9" x14ac:dyDescent="0.25">
      <c r="B22" s="15" t="s">
        <v>67</v>
      </c>
    </row>
    <row r="23" spans="1:9" x14ac:dyDescent="0.25">
      <c r="A23" s="15" t="s">
        <v>23</v>
      </c>
      <c r="F23" s="15" t="s">
        <v>24</v>
      </c>
    </row>
    <row r="24" spans="1:9" ht="22" thickBot="1" x14ac:dyDescent="0.3"/>
    <row r="25" spans="1:9" x14ac:dyDescent="0.25">
      <c r="A25" s="18" t="s">
        <v>70</v>
      </c>
      <c r="B25" s="18" t="s">
        <v>69</v>
      </c>
      <c r="C25" s="18" t="s">
        <v>71</v>
      </c>
      <c r="D25" s="18" t="s">
        <v>72</v>
      </c>
      <c r="F25" s="18" t="s">
        <v>73</v>
      </c>
      <c r="G25" s="18" t="s">
        <v>6</v>
      </c>
    </row>
    <row r="26" spans="1:9" x14ac:dyDescent="0.25">
      <c r="A26" s="15">
        <v>1</v>
      </c>
      <c r="B26" s="15">
        <v>413.79536064854062</v>
      </c>
      <c r="C26" s="15">
        <v>-63.795360648540623</v>
      </c>
      <c r="D26" s="15">
        <v>-1.4517890980788057</v>
      </c>
      <c r="F26" s="15">
        <v>3.3333333333333335</v>
      </c>
      <c r="G26" s="15">
        <v>300</v>
      </c>
    </row>
    <row r="27" spans="1:9" x14ac:dyDescent="0.25">
      <c r="A27" s="15">
        <v>2</v>
      </c>
      <c r="B27" s="15">
        <v>363.84518161288679</v>
      </c>
      <c r="C27" s="15">
        <v>96.15481838711321</v>
      </c>
      <c r="D27" s="15">
        <v>2.1881923018073235</v>
      </c>
      <c r="F27" s="15">
        <v>10</v>
      </c>
      <c r="G27" s="15">
        <v>300</v>
      </c>
    </row>
    <row r="28" spans="1:9" x14ac:dyDescent="0.25">
      <c r="A28" s="15">
        <v>3</v>
      </c>
      <c r="B28" s="15">
        <v>329.11834960735098</v>
      </c>
      <c r="C28" s="15">
        <v>20.881650392649021</v>
      </c>
      <c r="D28" s="15">
        <v>0.47520308815174572</v>
      </c>
      <c r="F28" s="15">
        <v>16.666666666666668</v>
      </c>
      <c r="G28" s="15">
        <v>340</v>
      </c>
    </row>
    <row r="29" spans="1:9" x14ac:dyDescent="0.25">
      <c r="A29" s="15">
        <v>4</v>
      </c>
      <c r="B29" s="15">
        <v>440.31478584046243</v>
      </c>
      <c r="C29" s="15">
        <v>-10.314785840462434</v>
      </c>
      <c r="D29" s="15">
        <v>-0.23473327025612728</v>
      </c>
      <c r="F29" s="15">
        <v>23.333333333333332</v>
      </c>
      <c r="G29" s="15">
        <v>350</v>
      </c>
    </row>
    <row r="30" spans="1:9" x14ac:dyDescent="0.25">
      <c r="A30" s="15">
        <v>5</v>
      </c>
      <c r="B30" s="15">
        <v>359.08845702874333</v>
      </c>
      <c r="C30" s="15">
        <v>-9.0884570287433348</v>
      </c>
      <c r="D30" s="15">
        <v>-0.20682574247644925</v>
      </c>
      <c r="F30" s="15">
        <v>30</v>
      </c>
      <c r="G30" s="15">
        <v>350</v>
      </c>
    </row>
    <row r="31" spans="1:9" x14ac:dyDescent="0.25">
      <c r="A31" s="15">
        <v>6</v>
      </c>
      <c r="B31" s="15">
        <v>415.73685185500545</v>
      </c>
      <c r="C31" s="15">
        <v>-35.736851855005455</v>
      </c>
      <c r="D31" s="15">
        <v>-0.81326245976698808</v>
      </c>
      <c r="F31" s="15">
        <v>36.666666666666671</v>
      </c>
      <c r="G31" s="15">
        <v>350</v>
      </c>
    </row>
    <row r="32" spans="1:9" x14ac:dyDescent="0.25">
      <c r="A32" s="15">
        <v>7</v>
      </c>
      <c r="B32" s="15">
        <v>416.53116291974527</v>
      </c>
      <c r="C32" s="15">
        <v>13.46883708025473</v>
      </c>
      <c r="D32" s="15">
        <v>0.30650991918737119</v>
      </c>
      <c r="F32" s="15">
        <v>43.333333333333336</v>
      </c>
      <c r="G32" s="15">
        <v>380</v>
      </c>
    </row>
    <row r="33" spans="1:7" x14ac:dyDescent="0.25">
      <c r="A33" s="15">
        <v>8</v>
      </c>
      <c r="B33" s="15">
        <v>420.97016307799277</v>
      </c>
      <c r="C33" s="15">
        <v>49.029836922007235</v>
      </c>
      <c r="D33" s="15">
        <v>1.1157705199928223</v>
      </c>
      <c r="F33" s="15">
        <v>50.000000000000007</v>
      </c>
      <c r="G33" s="15">
        <v>430</v>
      </c>
    </row>
    <row r="34" spans="1:7" x14ac:dyDescent="0.25">
      <c r="A34" s="15">
        <v>9</v>
      </c>
      <c r="B34" s="15">
        <v>391.15891786954842</v>
      </c>
      <c r="C34" s="15">
        <v>58.841082130451582</v>
      </c>
      <c r="D34" s="15">
        <v>1.3390447312739411</v>
      </c>
      <c r="F34" s="15">
        <v>56.666666666666671</v>
      </c>
      <c r="G34" s="15">
        <v>430</v>
      </c>
    </row>
    <row r="35" spans="1:7" x14ac:dyDescent="0.25">
      <c r="A35" s="15">
        <v>10</v>
      </c>
      <c r="B35" s="15">
        <v>478.17457564957283</v>
      </c>
      <c r="C35" s="15">
        <v>11.82542435042717</v>
      </c>
      <c r="D35" s="15">
        <v>0.26911082526341262</v>
      </c>
      <c r="F35" s="15">
        <v>63.333333333333336</v>
      </c>
      <c r="G35" s="15">
        <v>440</v>
      </c>
    </row>
    <row r="36" spans="1:7" x14ac:dyDescent="0.25">
      <c r="A36" s="15">
        <v>11</v>
      </c>
      <c r="B36" s="15">
        <v>386.16389996598309</v>
      </c>
      <c r="C36" s="15">
        <v>-46.163899965983092</v>
      </c>
      <c r="D36" s="15">
        <v>-1.0505504791271676</v>
      </c>
      <c r="F36" s="15">
        <v>70</v>
      </c>
      <c r="G36" s="15">
        <v>450</v>
      </c>
    </row>
    <row r="37" spans="1:7" x14ac:dyDescent="0.25">
      <c r="A37" s="15">
        <v>12</v>
      </c>
      <c r="B37" s="15">
        <v>346.4420500568819</v>
      </c>
      <c r="C37" s="15">
        <v>-46.442050056881897</v>
      </c>
      <c r="D37" s="15">
        <v>-1.0568803323561695</v>
      </c>
      <c r="F37" s="15">
        <v>76.666666666666671</v>
      </c>
      <c r="G37" s="15">
        <v>450</v>
      </c>
    </row>
    <row r="38" spans="1:7" x14ac:dyDescent="0.25">
      <c r="A38" s="15">
        <v>13</v>
      </c>
      <c r="B38" s="15">
        <v>455.69699508352858</v>
      </c>
      <c r="C38" s="15">
        <v>-15.696995083528577</v>
      </c>
      <c r="D38" s="15">
        <v>-0.35721604366201998</v>
      </c>
      <c r="F38" s="15">
        <v>83.333333333333329</v>
      </c>
      <c r="G38" s="15">
        <v>460</v>
      </c>
    </row>
    <row r="39" spans="1:7" x14ac:dyDescent="0.25">
      <c r="A39" s="15">
        <v>14</v>
      </c>
      <c r="B39" s="15">
        <v>441.10909690520236</v>
      </c>
      <c r="C39" s="15">
        <v>8.8909030947976362</v>
      </c>
      <c r="D39" s="15">
        <v>0.20233001356028227</v>
      </c>
      <c r="F39" s="15">
        <v>90</v>
      </c>
      <c r="G39" s="15">
        <v>470</v>
      </c>
    </row>
    <row r="40" spans="1:7" ht="22" thickBot="1" x14ac:dyDescent="0.3">
      <c r="A40" s="17">
        <v>15</v>
      </c>
      <c r="B40" s="17">
        <v>331.85415187855568</v>
      </c>
      <c r="C40" s="17">
        <v>-31.854151878555683</v>
      </c>
      <c r="D40" s="17">
        <v>-0.72490397351318303</v>
      </c>
      <c r="F40" s="17">
        <v>96.666666666666671</v>
      </c>
      <c r="G40" s="17">
        <v>490</v>
      </c>
    </row>
  </sheetData>
  <sortState xmlns:xlrd2="http://schemas.microsoft.com/office/spreadsheetml/2017/richdata2" ref="G26:G40">
    <sortCondition ref="G26"/>
  </sortState>
  <phoneticPr fontId="3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989A-D475-7840-BA9A-D0F2A85A1A17}">
  <dimension ref="A1:I16"/>
  <sheetViews>
    <sheetView zoomScale="154" zoomScaleNormal="154" workbookViewId="0">
      <selection activeCell="I3" sqref="I3"/>
    </sheetView>
  </sheetViews>
  <sheetFormatPr baseColWidth="10" defaultRowHeight="16" x14ac:dyDescent="0.2"/>
  <cols>
    <col min="1" max="1" width="16.83203125" bestFit="1" customWidth="1"/>
    <col min="2" max="2" width="16.83203125" customWidth="1"/>
  </cols>
  <sheetData>
    <row r="1" spans="1:9" ht="22" thickBot="1" x14ac:dyDescent="0.3">
      <c r="A1" s="18" t="s">
        <v>42</v>
      </c>
      <c r="B1" s="18"/>
      <c r="C1" s="18" t="s">
        <v>43</v>
      </c>
      <c r="E1" t="s">
        <v>60</v>
      </c>
      <c r="F1" s="20" t="s">
        <v>61</v>
      </c>
    </row>
    <row r="2" spans="1:9" ht="22" thickBot="1" x14ac:dyDescent="0.3">
      <c r="A2" s="15">
        <v>-63.795360648540623</v>
      </c>
      <c r="B2" s="18" t="s">
        <v>45</v>
      </c>
      <c r="C2" s="15">
        <v>96.15481838711321</v>
      </c>
      <c r="D2" s="18" t="s">
        <v>44</v>
      </c>
      <c r="E2">
        <f>+(C2-A2)^2</f>
        <v>25584.059773537716</v>
      </c>
      <c r="F2">
        <f>+C2^2</f>
        <v>9245.7490990587248</v>
      </c>
      <c r="G2" s="23" t="s">
        <v>63</v>
      </c>
      <c r="H2" s="22">
        <f>+CORREL(A2:A15,C2:C15)</f>
        <v>6.5791750768909904E-2</v>
      </c>
      <c r="I2" t="s">
        <v>62</v>
      </c>
    </row>
    <row r="3" spans="1:9" ht="22" thickBot="1" x14ac:dyDescent="0.3">
      <c r="A3" s="15">
        <v>96.15481838711321</v>
      </c>
      <c r="B3" s="18" t="s">
        <v>44</v>
      </c>
      <c r="C3" s="15">
        <v>20.881650392649021</v>
      </c>
      <c r="D3" s="18" t="s">
        <v>46</v>
      </c>
      <c r="E3">
        <f>+(C3-A3)^2</f>
        <v>5666.0498199228277</v>
      </c>
      <c r="F3">
        <f t="shared" ref="F3:F15" si="0">+C3^2</f>
        <v>436.04332312081903</v>
      </c>
      <c r="H3" t="s">
        <v>59</v>
      </c>
      <c r="I3">
        <f>+E16/F16</f>
        <v>1.9814222275099906</v>
      </c>
    </row>
    <row r="4" spans="1:9" ht="22" thickBot="1" x14ac:dyDescent="0.3">
      <c r="A4" s="15">
        <v>20.881650392649021</v>
      </c>
      <c r="B4" s="18" t="s">
        <v>46</v>
      </c>
      <c r="C4" s="15">
        <v>-10.314785840462434</v>
      </c>
      <c r="D4" s="18" t="s">
        <v>47</v>
      </c>
      <c r="E4">
        <f t="shared" ref="E4:E15" si="1">+(C4-A4)^2</f>
        <v>973.21763364658932</v>
      </c>
      <c r="F4">
        <f t="shared" si="0"/>
        <v>106.39480693460433</v>
      </c>
    </row>
    <row r="5" spans="1:9" ht="22" thickBot="1" x14ac:dyDescent="0.3">
      <c r="A5" s="15">
        <v>-10.314785840462434</v>
      </c>
      <c r="B5" s="18" t="s">
        <v>47</v>
      </c>
      <c r="C5" s="15">
        <v>-9.0884570287433348</v>
      </c>
      <c r="D5" s="18" t="s">
        <v>48</v>
      </c>
      <c r="E5">
        <f t="shared" si="1"/>
        <v>1.5038823544523787</v>
      </c>
      <c r="F5">
        <f t="shared" si="0"/>
        <v>82.60005116331412</v>
      </c>
    </row>
    <row r="6" spans="1:9" ht="22" thickBot="1" x14ac:dyDescent="0.3">
      <c r="A6" s="15">
        <v>-9.0884570287433348</v>
      </c>
      <c r="B6" s="18" t="s">
        <v>48</v>
      </c>
      <c r="C6" s="15">
        <v>-35.736851855005455</v>
      </c>
      <c r="D6" s="18" t="s">
        <v>49</v>
      </c>
      <c r="E6">
        <f t="shared" si="1"/>
        <v>710.13694681635366</v>
      </c>
      <c r="F6">
        <f t="shared" si="0"/>
        <v>1277.1225805066067</v>
      </c>
    </row>
    <row r="7" spans="1:9" ht="22" thickBot="1" x14ac:dyDescent="0.3">
      <c r="A7" s="15">
        <v>-35.736851855005455</v>
      </c>
      <c r="B7" s="18" t="s">
        <v>49</v>
      </c>
      <c r="C7" s="15">
        <v>13.46883708025473</v>
      </c>
      <c r="D7" s="18" t="s">
        <v>50</v>
      </c>
      <c r="E7">
        <f t="shared" si="1"/>
        <v>2421.1998235935866</v>
      </c>
      <c r="F7">
        <f t="shared" si="0"/>
        <v>181.40957229444476</v>
      </c>
    </row>
    <row r="8" spans="1:9" ht="22" thickBot="1" x14ac:dyDescent="0.3">
      <c r="A8" s="15">
        <v>13.46883708025473</v>
      </c>
      <c r="B8" s="18" t="s">
        <v>50</v>
      </c>
      <c r="C8" s="15">
        <v>49.029836922007235</v>
      </c>
      <c r="D8" s="18" t="s">
        <v>51</v>
      </c>
      <c r="E8">
        <f t="shared" si="1"/>
        <v>1264.5847097451217</v>
      </c>
      <c r="F8">
        <f t="shared" si="0"/>
        <v>2403.9249085986239</v>
      </c>
    </row>
    <row r="9" spans="1:9" ht="22" thickBot="1" x14ac:dyDescent="0.3">
      <c r="A9" s="15">
        <v>49.029836922007235</v>
      </c>
      <c r="B9" s="18" t="s">
        <v>51</v>
      </c>
      <c r="C9" s="15">
        <v>58.841082130451582</v>
      </c>
      <c r="D9" s="18" t="s">
        <v>52</v>
      </c>
      <c r="E9">
        <f t="shared" si="1"/>
        <v>96.260532540222172</v>
      </c>
      <c r="F9">
        <f t="shared" si="0"/>
        <v>3462.2729462825487</v>
      </c>
    </row>
    <row r="10" spans="1:9" ht="22" thickBot="1" x14ac:dyDescent="0.3">
      <c r="A10" s="15">
        <v>58.841082130451582</v>
      </c>
      <c r="B10" s="18" t="s">
        <v>52</v>
      </c>
      <c r="C10" s="15">
        <v>11.82542435042717</v>
      </c>
      <c r="D10" s="18" t="s">
        <v>53</v>
      </c>
      <c r="E10">
        <f t="shared" si="1"/>
        <v>2210.47207648837</v>
      </c>
      <c r="F10">
        <f t="shared" si="0"/>
        <v>139.84066106767585</v>
      </c>
    </row>
    <row r="11" spans="1:9" ht="22" thickBot="1" x14ac:dyDescent="0.3">
      <c r="A11" s="15">
        <v>11.82542435042717</v>
      </c>
      <c r="B11" s="18" t="s">
        <v>53</v>
      </c>
      <c r="C11" s="15">
        <v>-46.163899965983092</v>
      </c>
      <c r="D11" s="18" t="s">
        <v>54</v>
      </c>
      <c r="E11">
        <f t="shared" si="1"/>
        <v>3362.7617346738102</v>
      </c>
      <c r="F11">
        <f t="shared" si="0"/>
        <v>2131.1056600692937</v>
      </c>
    </row>
    <row r="12" spans="1:9" ht="22" thickBot="1" x14ac:dyDescent="0.3">
      <c r="A12" s="15">
        <v>-46.163899965983092</v>
      </c>
      <c r="B12" s="18" t="s">
        <v>54</v>
      </c>
      <c r="C12" s="15">
        <v>-46.442050056881897</v>
      </c>
      <c r="D12" s="18" t="s">
        <v>55</v>
      </c>
      <c r="E12">
        <f t="shared" si="1"/>
        <v>7.7367473067013512E-2</v>
      </c>
      <c r="F12">
        <f t="shared" si="0"/>
        <v>2156.8640134859238</v>
      </c>
    </row>
    <row r="13" spans="1:9" ht="22" thickBot="1" x14ac:dyDescent="0.3">
      <c r="A13" s="15">
        <v>-46.442050056881897</v>
      </c>
      <c r="B13" s="18" t="s">
        <v>55</v>
      </c>
      <c r="C13" s="15">
        <v>-15.696995083528577</v>
      </c>
      <c r="D13" s="18" t="s">
        <v>56</v>
      </c>
      <c r="E13">
        <f t="shared" si="1"/>
        <v>945.25840531451763</v>
      </c>
      <c r="F13">
        <f t="shared" si="0"/>
        <v>246.39565465232033</v>
      </c>
    </row>
    <row r="14" spans="1:9" ht="22" thickBot="1" x14ac:dyDescent="0.3">
      <c r="A14" s="15">
        <v>-15.696995083528577</v>
      </c>
      <c r="B14" s="18" t="s">
        <v>56</v>
      </c>
      <c r="C14" s="15">
        <v>8.8909030947976362</v>
      </c>
      <c r="D14" s="18" t="s">
        <v>57</v>
      </c>
      <c r="E14">
        <f t="shared" si="1"/>
        <v>604.56473682773753</v>
      </c>
      <c r="F14">
        <f t="shared" si="0"/>
        <v>79.048157841082187</v>
      </c>
    </row>
    <row r="15" spans="1:9" ht="22" thickBot="1" x14ac:dyDescent="0.3">
      <c r="A15" s="15">
        <v>8.8909030947976362</v>
      </c>
      <c r="B15" s="18" t="s">
        <v>57</v>
      </c>
      <c r="C15" s="17">
        <v>-31.854151878555683</v>
      </c>
      <c r="D15" s="18" t="s">
        <v>58</v>
      </c>
      <c r="E15">
        <f t="shared" si="1"/>
        <v>1660.159504781584</v>
      </c>
      <c r="F15">
        <f t="shared" si="0"/>
        <v>1014.6869919020926</v>
      </c>
    </row>
    <row r="16" spans="1:9" ht="22" thickBot="1" x14ac:dyDescent="0.3">
      <c r="A16" s="17"/>
      <c r="B16" s="15"/>
      <c r="E16" s="21">
        <f>SUM(E2:E15)</f>
        <v>45500.306947715959</v>
      </c>
      <c r="F16" s="21">
        <f>+SUM(F2:F15)</f>
        <v>22963.458426978072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Foglio1</vt:lpstr>
      <vt:lpstr>data</vt:lpstr>
      <vt:lpstr>Foglio4</vt:lpstr>
      <vt:lpstr>Foglio2</vt:lpstr>
      <vt:lpstr>Foglio3</vt:lpstr>
      <vt:lpstr>Adv</vt:lpstr>
      <vt:lpstr>Price</vt:lpstr>
      <vt:lpstr>output - both</vt:lpstr>
      <vt:lpstr>DW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2021-03-15T14:46:15Z</dcterms:created>
  <dcterms:modified xsi:type="dcterms:W3CDTF">2023-03-08T08:42:16Z</dcterms:modified>
</cp:coreProperties>
</file>