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70" windowWidth="25610" windowHeight="14520" tabRatio="500" activeTab="0"/>
  </bookViews>
  <sheets>
    <sheet name="BOT (ns)" sheetId="1" r:id="rId1"/>
    <sheet name="BOT" sheetId="2" r:id="rId2"/>
    <sheet name="CTZ (ns)" sheetId="3" r:id="rId3"/>
    <sheet name="CTZ" sheetId="4" r:id="rId4"/>
    <sheet name="BTP (ns)" sheetId="5" r:id="rId5"/>
    <sheet name="BTP" sheetId="6" r:id="rId6"/>
    <sheet name="CCTeu (ns)" sheetId="7" r:id="rId7"/>
    <sheet name="CCTeu" sheetId="8" r:id="rId8"/>
    <sheet name="BTPi (ns)" sheetId="9" r:id="rId9"/>
    <sheet name="BTPi" sheetId="10" r:id="rId10"/>
  </sheets>
  <definedNames>
    <definedName name="_xlfn.SINGLE" hidden="1">#NAME?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'BTP'!$C$25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fullCalcOnLoad="1"/>
</workbook>
</file>

<file path=xl/sharedStrings.xml><?xml version="1.0" encoding="utf-8"?>
<sst xmlns="http://schemas.openxmlformats.org/spreadsheetml/2006/main" count="195" uniqueCount="96">
  <si>
    <t>Rendimento lordo nel regime dell'interesse semplice</t>
  </si>
  <si>
    <t>Rendimento lordo nel regime dell'interesse composto</t>
  </si>
  <si>
    <t>Data di emissione</t>
  </si>
  <si>
    <t>Prezzo netto di aggiudicazione</t>
  </si>
  <si>
    <t>Commissione di negoziazione</t>
  </si>
  <si>
    <t>Prezzo di aggiudicazione oltre costi di negoziazione</t>
  </si>
  <si>
    <t>Rendimento nel regime  dell'interesse semplice al netto della ritenuta fiscale e delle commissioni di negoziazione</t>
  </si>
  <si>
    <t>Rendimento nel regime dell'interesse composto al netto della ritenuta fiscale e delle commissioni di negoziazione</t>
  </si>
  <si>
    <t>Ritenuta fiscale</t>
  </si>
  <si>
    <t>Rendimento netto in regime dell'interesse semplice</t>
  </si>
  <si>
    <t>Rendimento netto in regime dell'interesse composto</t>
  </si>
  <si>
    <t>Durata dell'obbligazione espressa in giorni</t>
  </si>
  <si>
    <t>Data di scadenza/rimborso</t>
  </si>
  <si>
    <t>Arrotondamento alla seconda cifra decimale</t>
  </si>
  <si>
    <t>BUONO ORDINARIO DEL TESORO (BOT)</t>
  </si>
  <si>
    <t>Prezzo d'asta/di aggiudicazione</t>
  </si>
  <si>
    <t>Prezzo fiscale</t>
  </si>
  <si>
    <t>CERTIFICATO DEL TESORO ZERO COUPON (CTZ)</t>
  </si>
  <si>
    <t>Convenzione anno di riferimento commerciale</t>
  </si>
  <si>
    <t>Giorni effettivi/anno commerciale</t>
  </si>
  <si>
    <t>Ritenuta fiscale applicata</t>
  </si>
  <si>
    <t xml:space="preserve">Ritenuta fiscale </t>
  </si>
  <si>
    <t xml:space="preserve">Rendimento nel regime dell'interesse composto al netto della ritenuta fiscale </t>
  </si>
  <si>
    <t>Prezzo di rimborso al netto della ritenuta fiscale</t>
  </si>
  <si>
    <t>Prezzo di rimborso</t>
  </si>
  <si>
    <t>Durata nominale (anni)</t>
  </si>
  <si>
    <t>Cedola (%)</t>
  </si>
  <si>
    <t>Frequenza della cedola (anni)</t>
  </si>
  <si>
    <t>Valore nominale</t>
  </si>
  <si>
    <t>Modalità di rimborso</t>
  </si>
  <si>
    <t>Data di acquisto</t>
  </si>
  <si>
    <t>Rateo</t>
  </si>
  <si>
    <t>Prezzo TelQuel</t>
  </si>
  <si>
    <t>Data prossimo stacco della cedola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</si>
  <si>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</si>
  <si>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</si>
  <si>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</si>
  <si>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</si>
  <si>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</si>
  <si>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</si>
  <si>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</si>
  <si>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</si>
  <si>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</si>
  <si>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</si>
  <si>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Giorni prossimo stacco della cedola</t>
  </si>
  <si>
    <t>Data ultimo stacco della cedola</t>
  </si>
  <si>
    <t>t0</t>
  </si>
  <si>
    <t>acquisto</t>
  </si>
  <si>
    <t>Periodo</t>
  </si>
  <si>
    <t>Data</t>
  </si>
  <si>
    <t>Giorni precedente stacco della cedola</t>
  </si>
  <si>
    <t>Convenzione anno solare</t>
  </si>
  <si>
    <t>Prezzo di acquisto/corso secco</t>
  </si>
  <si>
    <t>Nuovi periodi</t>
  </si>
  <si>
    <t>Flussi</t>
  </si>
  <si>
    <t>Valore attuale</t>
  </si>
  <si>
    <t>Tasso rendimento effettivo a scadenza</t>
  </si>
  <si>
    <t>a scadenza</t>
  </si>
  <si>
    <t>Intervallo (gg)</t>
  </si>
  <si>
    <t>Livello cedola iniziale (%)</t>
  </si>
  <si>
    <t>Livello cedole successive (%)</t>
  </si>
  <si>
    <t>Intervalli (anni)</t>
  </si>
  <si>
    <t>Margine finanziario</t>
  </si>
  <si>
    <t>Tasso di riferimento</t>
  </si>
  <si>
    <t>Livello cedola reale (%)</t>
  </si>
  <si>
    <t>Valore del capitale a scadenza</t>
  </si>
  <si>
    <t>Tasso di rendimento indicizzato</t>
  </si>
  <si>
    <t>Tasso di inflazione atteso medio</t>
  </si>
  <si>
    <t>CERTIFICATI DI CREDITO DEL TESORO INDICIZZATI ALL’EURIBOR 6 MESI (CCTeu)</t>
  </si>
  <si>
    <t>BUONI DEL TESORO POLIENNALI INDICIZZATI ALL’INFLAZIONE EUROPEA (BTP€i)</t>
  </si>
  <si>
    <t>Determinato con Ricerca obiettivo</t>
  </si>
  <si>
    <t>BUONI DEL TESORO POLIENNALI (BTP)</t>
  </si>
  <si>
    <t>Prezzo di aggiudicazione</t>
  </si>
  <si>
    <t>Spread fissato dall'emittente</t>
  </si>
  <si>
    <t>Giorni effettivi/anno solare</t>
  </si>
  <si>
    <t>Eur6mesi + 0,60</t>
  </si>
  <si>
    <t>Tasso di rendimento tendenziale (TRET)</t>
  </si>
  <si>
    <t>Comandi Excel</t>
  </si>
  <si>
    <t>Scadenziario finanziario</t>
  </si>
  <si>
    <t>F1</t>
  </si>
  <si>
    <t>F2</t>
  </si>
  <si>
    <t>F3</t>
  </si>
  <si>
    <t>F4</t>
  </si>
  <si>
    <t>F5</t>
  </si>
  <si>
    <t>Periodi frazionari</t>
  </si>
  <si>
    <t>Calcolare il rendimento lordo nel regime dell'interesse semplice e composto al lordo e al netto della ritenuta fiscale e di una commissione di € 0,3 di un BOT a 6 mesi emesso il 01/05/2018, con prezzo di aggiudicazione dell'asta pari a € 98,550.</t>
  </si>
  <si>
    <t>Euribor 6 mesi</t>
  </si>
  <si>
    <t>Flussi reali</t>
  </si>
  <si>
    <t>Flussi indicizzati</t>
  </si>
  <si>
    <t>Valore nominale rivalutato</t>
  </si>
  <si>
    <t>Calcolare il rendimento lordo nel regime dell'interesse composto al lordo e al netto della ritenuta fiscale di un CTZ a 2 anni emesso il 30/07/2018, con prezzo di aggiudicazione dell'asta pari a € 92,450.</t>
  </si>
  <si>
    <t>Calcolare il Rateo, il Prezzo il Tel Quel e il Tasso di Rendimento a Scadenza per un BTP decennale con tasso di interesse del 4,00% che paga cedole una volta l'anno, emesso il 01/05/2011 e acquistato al prezzo di € 103,00 il 05/08/2016.</t>
  </si>
  <si>
    <t>Calcolare il Rateo, il Prezzo il Tel Quel e il Tasso di Rendimento a Scadenza per un BTP decennale con tasso di interesse del 4,00% che paga cedola una volta l'anno, emesso il 01/05/2011 e acquistato al prezzo di € 103,00 il 05/08/2016.</t>
  </si>
  <si>
    <t>Calcolare il livello della cedola iniziale e il tasso di rendimento tendenziale di un CCTeu emesso l'01/07/2012 con scadenza 5 anni, tasso di interesse pari al 4,00% e un indicizzazione al tasso Euribor 6 mesi + 60 basis point, acquistato per un prezzo di 102 €. Considerare due calcoli, il primo mantenendo l'Euribor costante all'emissione, il secondo incorporando le previsioni estratte dai forward.</t>
  </si>
  <si>
    <t>Calcolare il tasso di rendimento indicizzato di un BTPi emesso il 01/06/2012 con scadenza 5 anni ad un tasso di rendimento reale del 1,45% e con un tasso di inflazione atteso costante del 2%, acquistato in emissione al prezzo di 100€.</t>
  </si>
  <si>
    <t>Calcolare il livello della cedola iniziale e il tasso di rendimento tendenziale di un CCTeu emesso l'01/07/2012 con scadenza 5 anni, tasso di interesse pari al 4,00% e un indicizzazione al tasso Euribor 6 mesi + 60 basis point, acquistato per un prezzo di 102 €.  Considerare due calcoli, il primo mantenendo l'Euribor costante all'emissione, il secondo incorporando le previsioni estratte dai forward.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</si>
</sst>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_-* #,##0.0\ _€_-;\-* #,##0.0\ _€_-;_-* &quot;-&quot;??\ _€_-;_-@_-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00000\ _€_-;\-* #,##0.000000\ _€_-;_-* &quot;-&quot;??\ _€_-;_-@_-"/>
    <numFmt numFmtId="185" formatCode="_-* #,##0.0000000\ _€_-;\-* #,##0.0000000\ _€_-;_-* &quot;-&quot;??\ _€_-;_-@_-"/>
    <numFmt numFmtId="186" formatCode="_-* #,##0.000000\ _€_-;\-* #,##0.000000\ _€_-;_-* &quot;-&quot;??????\ _€_-;_-@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00\ _€_-;\-* #,##0.000\ _€_-;_-* &quot;-&quot;???\ _€_-;_-@_-"/>
    <numFmt numFmtId="194" formatCode="_-* #,##0.00000\ _€_-;\-* #,##0.00000\ _€_-;_-* &quot;-&quot;?????\ _€_-;_-@_-"/>
    <numFmt numFmtId="195" formatCode="_-* #,##0.0000\ _€_-;\-* #,##0.0000\ _€_-;_-* &quot;-&quot;???\ _€_-;_-@_-"/>
    <numFmt numFmtId="196" formatCode="_-* #,##0.00000\ _€_-;\-* #,##0.00000\ _€_-;_-* &quot;-&quot;???\ _€_-;_-@_-"/>
    <numFmt numFmtId="197" formatCode="_-* #,##0\ _€_-;\-* #,##0\ _€_-;_-* &quot;-&quot;??\ _€_-;_-@_-"/>
    <numFmt numFmtId="198" formatCode="0.0"/>
    <numFmt numFmtId="199" formatCode="[$-410]dddd\ d\ mmmm\ yyyy"/>
    <numFmt numFmtId="200" formatCode="mmm\-yyyy"/>
    <numFmt numFmtId="201" formatCode="_-* #,##0.0\ _€_-;\-* #,##0.0\ _€_-;_-* &quot;-&quot;?\ _€_-;_-@_-"/>
    <numFmt numFmtId="202" formatCode="[$-F800]dddd\,\ mmmm\ dd\,\ yyyy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0"/>
      <color indexed="8"/>
      <name val="Cambria"/>
      <family val="1"/>
    </font>
    <font>
      <b/>
      <sz val="10"/>
      <color indexed="9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192" fontId="42" fillId="0" borderId="12" xfId="0" applyNumberFormat="1" applyFont="1" applyBorder="1" applyAlignment="1">
      <alignment horizontal="center"/>
    </xf>
    <xf numFmtId="192" fontId="42" fillId="33" borderId="14" xfId="0" applyNumberFormat="1" applyFont="1" applyFill="1" applyBorder="1" applyAlignment="1">
      <alignment horizontal="center"/>
    </xf>
    <xf numFmtId="192" fontId="42" fillId="0" borderId="15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44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4" fontId="42" fillId="33" borderId="18" xfId="0" applyNumberFormat="1" applyFont="1" applyFill="1" applyBorder="1" applyAlignment="1">
      <alignment horizontal="center"/>
    </xf>
    <xf numFmtId="14" fontId="42" fillId="33" borderId="14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12" xfId="0" applyFont="1" applyBorder="1" applyAlignment="1">
      <alignment/>
    </xf>
    <xf numFmtId="0" fontId="42" fillId="0" borderId="19" xfId="0" applyFont="1" applyBorder="1" applyAlignment="1">
      <alignment/>
    </xf>
    <xf numFmtId="0" fontId="43" fillId="0" borderId="20" xfId="0" applyFont="1" applyBorder="1" applyAlignment="1">
      <alignment/>
    </xf>
    <xf numFmtId="191" fontId="42" fillId="0" borderId="12" xfId="0" applyNumberFormat="1" applyFont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173" fontId="45" fillId="34" borderId="23" xfId="48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173" fontId="45" fillId="34" borderId="15" xfId="48" applyNumberFormat="1" applyFont="1" applyFill="1" applyBorder="1" applyAlignment="1">
      <alignment horizontal="center"/>
    </xf>
    <xf numFmtId="173" fontId="45" fillId="34" borderId="22" xfId="48" applyNumberFormat="1" applyFont="1" applyFill="1" applyBorder="1" applyAlignment="1">
      <alignment horizontal="center"/>
    </xf>
    <xf numFmtId="0" fontId="44" fillId="0" borderId="24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2" fillId="35" borderId="26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5" borderId="27" xfId="0" applyFont="1" applyFill="1" applyBorder="1" applyAlignment="1">
      <alignment horizontal="center"/>
    </xf>
    <xf numFmtId="14" fontId="43" fillId="0" borderId="25" xfId="0" applyNumberFormat="1" applyFont="1" applyBorder="1" applyAlignment="1">
      <alignment horizontal="right"/>
    </xf>
    <xf numFmtId="14" fontId="42" fillId="0" borderId="25" xfId="0" applyNumberFormat="1" applyFont="1" applyBorder="1" applyAlignment="1">
      <alignment horizontal="right"/>
    </xf>
    <xf numFmtId="14" fontId="42" fillId="33" borderId="26" xfId="0" applyNumberFormat="1" applyFont="1" applyFill="1" applyBorder="1" applyAlignment="1">
      <alignment horizontal="right"/>
    </xf>
    <xf numFmtId="14" fontId="42" fillId="0" borderId="23" xfId="0" applyNumberFormat="1" applyFont="1" applyBorder="1" applyAlignment="1">
      <alignment horizontal="right"/>
    </xf>
    <xf numFmtId="0" fontId="42" fillId="0" borderId="25" xfId="0" applyFont="1" applyBorder="1" applyAlignment="1">
      <alignment/>
    </xf>
    <xf numFmtId="0" fontId="42" fillId="36" borderId="26" xfId="0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36" borderId="27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43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12" xfId="0" applyFont="1" applyBorder="1" applyAlignment="1">
      <alignment/>
    </xf>
    <xf numFmtId="14" fontId="42" fillId="0" borderId="15" xfId="0" applyNumberFormat="1" applyFont="1" applyFill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2" fillId="0" borderId="28" xfId="0" applyFont="1" applyBorder="1" applyAlignment="1">
      <alignment/>
    </xf>
    <xf numFmtId="0" fontId="43" fillId="0" borderId="28" xfId="0" applyFont="1" applyFill="1" applyBorder="1" applyAlignment="1">
      <alignment/>
    </xf>
    <xf numFmtId="0" fontId="42" fillId="0" borderId="15" xfId="0" applyFont="1" applyBorder="1" applyAlignment="1">
      <alignment/>
    </xf>
    <xf numFmtId="14" fontId="42" fillId="0" borderId="12" xfId="0" applyNumberFormat="1" applyFont="1" applyFill="1" applyBorder="1" applyAlignment="1">
      <alignment horizontal="right"/>
    </xf>
    <xf numFmtId="0" fontId="43" fillId="0" borderId="16" xfId="0" applyFont="1" applyBorder="1" applyAlignment="1">
      <alignment horizontal="right"/>
    </xf>
    <xf numFmtId="0" fontId="43" fillId="0" borderId="29" xfId="0" applyFont="1" applyBorder="1" applyAlignment="1">
      <alignment/>
    </xf>
    <xf numFmtId="0" fontId="42" fillId="0" borderId="29" xfId="0" applyFont="1" applyBorder="1" applyAlignment="1">
      <alignment/>
    </xf>
    <xf numFmtId="0" fontId="43" fillId="0" borderId="16" xfId="0" applyFont="1" applyBorder="1" applyAlignment="1">
      <alignment/>
    </xf>
    <xf numFmtId="0" fontId="42" fillId="0" borderId="29" xfId="0" applyFont="1" applyFill="1" applyBorder="1" applyAlignment="1">
      <alignment/>
    </xf>
    <xf numFmtId="0" fontId="42" fillId="0" borderId="22" xfId="0" applyFont="1" applyBorder="1" applyAlignment="1">
      <alignment/>
    </xf>
    <xf numFmtId="14" fontId="42" fillId="33" borderId="14" xfId="0" applyNumberFormat="1" applyFont="1" applyFill="1" applyBorder="1" applyAlignment="1">
      <alignment horizontal="right"/>
    </xf>
    <xf numFmtId="14" fontId="42" fillId="0" borderId="12" xfId="43" applyNumberFormat="1" applyFont="1" applyFill="1" applyBorder="1" applyAlignment="1">
      <alignment horizontal="right"/>
    </xf>
    <xf numFmtId="0" fontId="42" fillId="0" borderId="23" xfId="0" applyFont="1" applyBorder="1" applyAlignment="1">
      <alignment/>
    </xf>
    <xf numFmtId="0" fontId="42" fillId="0" borderId="12" xfId="0" applyFont="1" applyFill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2" fillId="0" borderId="0" xfId="0" applyFont="1" applyFill="1" applyBorder="1" applyAlignment="1">
      <alignment/>
    </xf>
    <xf numFmtId="165" fontId="42" fillId="33" borderId="14" xfId="43" applyNumberFormat="1" applyFont="1" applyFill="1" applyBorder="1" applyAlignment="1">
      <alignment horizontal="center"/>
    </xf>
    <xf numFmtId="10" fontId="42" fillId="33" borderId="14" xfId="0" applyNumberFormat="1" applyFont="1" applyFill="1" applyBorder="1" applyAlignment="1">
      <alignment horizontal="center"/>
    </xf>
    <xf numFmtId="0" fontId="42" fillId="0" borderId="16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2" fillId="0" borderId="29" xfId="0" applyFont="1" applyFill="1" applyBorder="1" applyAlignment="1">
      <alignment/>
    </xf>
    <xf numFmtId="2" fontId="42" fillId="0" borderId="12" xfId="0" applyNumberFormat="1" applyFont="1" applyFill="1" applyBorder="1" applyAlignment="1">
      <alignment horizontal="center"/>
    </xf>
    <xf numFmtId="0" fontId="42" fillId="35" borderId="31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165" fontId="42" fillId="0" borderId="25" xfId="43" applyFont="1" applyBorder="1" applyAlignment="1">
      <alignment horizontal="center"/>
    </xf>
    <xf numFmtId="165" fontId="42" fillId="0" borderId="25" xfId="0" applyNumberFormat="1" applyFont="1" applyBorder="1" applyAlignment="1">
      <alignment horizontal="center"/>
    </xf>
    <xf numFmtId="181" fontId="45" fillId="34" borderId="25" xfId="43" applyNumberFormat="1" applyFont="1" applyFill="1" applyBorder="1" applyAlignment="1">
      <alignment/>
    </xf>
    <xf numFmtId="0" fontId="42" fillId="0" borderId="24" xfId="0" applyFont="1" applyBorder="1" applyAlignment="1">
      <alignment/>
    </xf>
    <xf numFmtId="181" fontId="45" fillId="34" borderId="23" xfId="43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181" fontId="42" fillId="13" borderId="0" xfId="43" applyNumberFormat="1" applyFont="1" applyFill="1" applyBorder="1" applyAlignment="1">
      <alignment/>
    </xf>
    <xf numFmtId="9" fontId="43" fillId="0" borderId="0" xfId="48" applyFont="1" applyAlignment="1">
      <alignment/>
    </xf>
    <xf numFmtId="0" fontId="44" fillId="0" borderId="0" xfId="0" applyFont="1" applyAlignment="1">
      <alignment/>
    </xf>
    <xf numFmtId="0" fontId="43" fillId="0" borderId="29" xfId="0" applyFont="1" applyBorder="1" applyAlignment="1">
      <alignment horizontal="center"/>
    </xf>
    <xf numFmtId="181" fontId="42" fillId="13" borderId="29" xfId="43" applyNumberFormat="1" applyFont="1" applyFill="1" applyBorder="1" applyAlignment="1">
      <alignment/>
    </xf>
    <xf numFmtId="14" fontId="42" fillId="36" borderId="18" xfId="0" applyNumberFormat="1" applyFont="1" applyFill="1" applyBorder="1" applyAlignment="1">
      <alignment horizontal="right"/>
    </xf>
    <xf numFmtId="14" fontId="42" fillId="36" borderId="14" xfId="0" applyNumberFormat="1" applyFont="1" applyFill="1" applyBorder="1" applyAlignment="1">
      <alignment horizontal="right"/>
    </xf>
    <xf numFmtId="165" fontId="42" fillId="36" borderId="14" xfId="43" applyNumberFormat="1" applyFont="1" applyFill="1" applyBorder="1" applyAlignment="1">
      <alignment horizontal="right"/>
    </xf>
    <xf numFmtId="197" fontId="42" fillId="0" borderId="12" xfId="43" applyNumberFormat="1" applyFont="1" applyFill="1" applyBorder="1" applyAlignment="1">
      <alignment horizontal="right"/>
    </xf>
    <xf numFmtId="0" fontId="43" fillId="0" borderId="28" xfId="0" applyFont="1" applyBorder="1" applyAlignment="1">
      <alignment/>
    </xf>
    <xf numFmtId="0" fontId="42" fillId="0" borderId="12" xfId="0" applyFont="1" applyFill="1" applyBorder="1" applyAlignment="1">
      <alignment horizontal="right"/>
    </xf>
    <xf numFmtId="2" fontId="42" fillId="0" borderId="12" xfId="0" applyNumberFormat="1" applyFont="1" applyFill="1" applyBorder="1" applyAlignment="1">
      <alignment horizontal="right"/>
    </xf>
    <xf numFmtId="10" fontId="45" fillId="34" borderId="23" xfId="48" applyNumberFormat="1" applyFont="1" applyFill="1" applyBorder="1" applyAlignment="1">
      <alignment horizontal="center"/>
    </xf>
    <xf numFmtId="14" fontId="42" fillId="36" borderId="18" xfId="0" applyNumberFormat="1" applyFont="1" applyFill="1" applyBorder="1" applyAlignment="1">
      <alignment horizontal="center"/>
    </xf>
    <xf numFmtId="14" fontId="42" fillId="36" borderId="14" xfId="0" applyNumberFormat="1" applyFont="1" applyFill="1" applyBorder="1" applyAlignment="1">
      <alignment horizontal="center"/>
    </xf>
    <xf numFmtId="10" fontId="42" fillId="0" borderId="12" xfId="0" applyNumberFormat="1" applyFont="1" applyFill="1" applyBorder="1" applyAlignment="1">
      <alignment horizontal="center"/>
    </xf>
    <xf numFmtId="174" fontId="42" fillId="0" borderId="22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19" borderId="32" xfId="0" applyFont="1" applyFill="1" applyBorder="1" applyAlignment="1">
      <alignment/>
    </xf>
    <xf numFmtId="0" fontId="42" fillId="13" borderId="32" xfId="0" applyFont="1" applyFill="1" applyBorder="1" applyAlignment="1">
      <alignment/>
    </xf>
    <xf numFmtId="2" fontId="45" fillId="34" borderId="23" xfId="48" applyNumberFormat="1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14" fontId="42" fillId="0" borderId="28" xfId="0" applyNumberFormat="1" applyFont="1" applyBorder="1" applyAlignment="1">
      <alignment horizontal="center"/>
    </xf>
    <xf numFmtId="14" fontId="42" fillId="0" borderId="15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10" fontId="42" fillId="0" borderId="0" xfId="0" applyNumberFormat="1" applyFont="1" applyBorder="1" applyAlignment="1">
      <alignment horizontal="center"/>
    </xf>
    <xf numFmtId="10" fontId="42" fillId="0" borderId="12" xfId="0" applyNumberFormat="1" applyFont="1" applyBorder="1" applyAlignment="1">
      <alignment horizontal="center"/>
    </xf>
    <xf numFmtId="2" fontId="42" fillId="25" borderId="33" xfId="0" applyNumberFormat="1" applyFont="1" applyFill="1" applyBorder="1" applyAlignment="1">
      <alignment horizontal="center"/>
    </xf>
    <xf numFmtId="0" fontId="43" fillId="0" borderId="16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47" fillId="0" borderId="0" xfId="0" applyFont="1" applyBorder="1" applyAlignment="1">
      <alignment/>
    </xf>
    <xf numFmtId="10" fontId="47" fillId="0" borderId="0" xfId="0" applyNumberFormat="1" applyFont="1" applyBorder="1" applyAlignment="1">
      <alignment horizontal="center"/>
    </xf>
    <xf numFmtId="10" fontId="47" fillId="0" borderId="12" xfId="0" applyNumberFormat="1" applyFont="1" applyBorder="1" applyAlignment="1">
      <alignment horizontal="center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42" fillId="0" borderId="12" xfId="0" applyFont="1" applyFill="1" applyBorder="1" applyAlignment="1">
      <alignment/>
    </xf>
    <xf numFmtId="9" fontId="42" fillId="36" borderId="14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0" fontId="3" fillId="33" borderId="14" xfId="43" applyNumberFormat="1" applyFont="1" applyFill="1" applyBorder="1" applyAlignment="1">
      <alignment horizontal="right"/>
    </xf>
    <xf numFmtId="14" fontId="42" fillId="0" borderId="29" xfId="0" applyNumberFormat="1" applyFont="1" applyBorder="1" applyAlignment="1">
      <alignment horizontal="center"/>
    </xf>
    <xf numFmtId="14" fontId="42" fillId="0" borderId="22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2" fontId="42" fillId="0" borderId="29" xfId="0" applyNumberFormat="1" applyFont="1" applyBorder="1" applyAlignment="1">
      <alignment horizontal="center"/>
    </xf>
    <xf numFmtId="2" fontId="42" fillId="0" borderId="22" xfId="0" applyNumberFormat="1" applyFont="1" applyBorder="1" applyAlignment="1">
      <alignment horizontal="center"/>
    </xf>
    <xf numFmtId="0" fontId="42" fillId="19" borderId="33" xfId="0" applyFont="1" applyFill="1" applyBorder="1" applyAlignment="1">
      <alignment/>
    </xf>
    <xf numFmtId="0" fontId="43" fillId="0" borderId="24" xfId="0" applyFont="1" applyBorder="1" applyAlignment="1">
      <alignment horizontal="left"/>
    </xf>
    <xf numFmtId="0" fontId="43" fillId="0" borderId="24" xfId="0" applyFont="1" applyBorder="1" applyAlignment="1">
      <alignment horizontal="center" vertical="top"/>
    </xf>
    <xf numFmtId="0" fontId="43" fillId="35" borderId="26" xfId="0" applyFont="1" applyFill="1" applyBorder="1" applyAlignment="1">
      <alignment horizontal="center"/>
    </xf>
    <xf numFmtId="0" fontId="43" fillId="35" borderId="27" xfId="0" applyFont="1" applyFill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10" fontId="42" fillId="33" borderId="14" xfId="48" applyNumberFormat="1" applyFont="1" applyFill="1" applyBorder="1" applyAlignment="1">
      <alignment horizontal="center"/>
    </xf>
    <xf numFmtId="14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47" fillId="0" borderId="23" xfId="48" applyNumberFormat="1" applyFont="1" applyBorder="1" applyAlignment="1">
      <alignment horizontal="center"/>
    </xf>
    <xf numFmtId="173" fontId="47" fillId="0" borderId="0" xfId="0" applyNumberFormat="1" applyFont="1" applyBorder="1" applyAlignment="1">
      <alignment horizontal="center"/>
    </xf>
    <xf numFmtId="0" fontId="42" fillId="36" borderId="30" xfId="0" applyFont="1" applyFill="1" applyBorder="1" applyAlignment="1">
      <alignment horizontal="left" vertical="center" wrapText="1"/>
    </xf>
    <xf numFmtId="0" fontId="42" fillId="36" borderId="13" xfId="0" applyFont="1" applyFill="1" applyBorder="1" applyAlignment="1">
      <alignment horizontal="left" vertical="center" wrapText="1"/>
    </xf>
    <xf numFmtId="0" fontId="42" fillId="36" borderId="17" xfId="0" applyFont="1" applyFill="1" applyBorder="1" applyAlignment="1">
      <alignment horizontal="left" vertical="center" wrapText="1"/>
    </xf>
    <xf numFmtId="0" fontId="43" fillId="37" borderId="30" xfId="0" applyFont="1" applyFill="1" applyBorder="1" applyAlignment="1">
      <alignment horizontal="center" vertical="center"/>
    </xf>
    <xf numFmtId="0" fontId="43" fillId="37" borderId="17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left" vertical="center" wrapText="1"/>
    </xf>
    <xf numFmtId="0" fontId="42" fillId="36" borderId="28" xfId="0" applyFont="1" applyFill="1" applyBorder="1" applyAlignment="1">
      <alignment horizontal="left" vertical="center" wrapText="1"/>
    </xf>
    <xf numFmtId="0" fontId="42" fillId="36" borderId="15" xfId="0" applyFont="1" applyFill="1" applyBorder="1" applyAlignment="1">
      <alignment horizontal="left" vertical="center" wrapText="1"/>
    </xf>
    <xf numFmtId="0" fontId="42" fillId="36" borderId="11" xfId="0" applyFont="1" applyFill="1" applyBorder="1" applyAlignment="1">
      <alignment horizontal="left" vertical="center" wrapText="1"/>
    </xf>
    <xf numFmtId="0" fontId="42" fillId="36" borderId="0" xfId="0" applyFont="1" applyFill="1" applyBorder="1" applyAlignment="1">
      <alignment horizontal="left" vertical="center" wrapText="1"/>
    </xf>
    <xf numFmtId="0" fontId="42" fillId="36" borderId="12" xfId="0" applyFont="1" applyFill="1" applyBorder="1" applyAlignment="1">
      <alignment horizontal="left" vertical="center" wrapText="1"/>
    </xf>
    <xf numFmtId="0" fontId="42" fillId="36" borderId="16" xfId="0" applyFont="1" applyFill="1" applyBorder="1" applyAlignment="1">
      <alignment horizontal="left" vertical="center" wrapText="1"/>
    </xf>
    <xf numFmtId="0" fontId="42" fillId="36" borderId="29" xfId="0" applyFont="1" applyFill="1" applyBorder="1" applyAlignment="1">
      <alignment horizontal="left" vertical="center" wrapText="1"/>
    </xf>
    <xf numFmtId="0" fontId="42" fillId="36" borderId="22" xfId="0" applyFont="1" applyFill="1" applyBorder="1" applyAlignment="1">
      <alignment horizontal="left" vertical="center" wrapText="1"/>
    </xf>
    <xf numFmtId="0" fontId="42" fillId="5" borderId="34" xfId="0" applyFont="1" applyFill="1" applyBorder="1" applyAlignment="1">
      <alignment horizontal="center"/>
    </xf>
    <xf numFmtId="0" fontId="42" fillId="5" borderId="35" xfId="0" applyFont="1" applyFill="1" applyBorder="1" applyAlignment="1">
      <alignment horizontal="center"/>
    </xf>
    <xf numFmtId="0" fontId="42" fillId="5" borderId="36" xfId="0" applyFont="1" applyFill="1" applyBorder="1" applyAlignment="1">
      <alignment horizontal="center"/>
    </xf>
    <xf numFmtId="0" fontId="42" fillId="5" borderId="37" xfId="0" applyFont="1" applyFill="1" applyBorder="1" applyAlignment="1">
      <alignment horizontal="center"/>
    </xf>
    <xf numFmtId="0" fontId="42" fillId="5" borderId="38" xfId="0" applyFont="1" applyFill="1" applyBorder="1" applyAlignment="1">
      <alignment horizontal="center"/>
    </xf>
    <xf numFmtId="0" fontId="42" fillId="5" borderId="39" xfId="0" applyFont="1" applyFill="1" applyBorder="1" applyAlignment="1">
      <alignment horizontal="center"/>
    </xf>
    <xf numFmtId="0" fontId="42" fillId="3" borderId="40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2" fillId="3" borderId="41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43" fillId="13" borderId="38" xfId="0" applyFont="1" applyFill="1" applyBorder="1" applyAlignment="1">
      <alignment horizontal="center"/>
    </xf>
    <xf numFmtId="0" fontId="43" fillId="13" borderId="3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21</xdr:row>
      <xdr:rowOff>76200</xdr:rowOff>
    </xdr:from>
    <xdr:to>
      <xdr:col>4</xdr:col>
      <xdr:colOff>361950</xdr:colOff>
      <xdr:row>22</xdr:row>
      <xdr:rowOff>66675</xdr:rowOff>
    </xdr:to>
    <xdr:sp>
      <xdr:nvSpPr>
        <xdr:cNvPr id="1" name="Connettore 4 1"/>
        <xdr:cNvSpPr>
          <a:spLocks/>
        </xdr:cNvSpPr>
      </xdr:nvSpPr>
      <xdr:spPr>
        <a:xfrm flipV="1">
          <a:off x="4619625" y="3438525"/>
          <a:ext cx="1933575" cy="152400"/>
        </a:xfrm>
        <a:prstGeom prst="bentConnector3">
          <a:avLst/>
        </a:prstGeom>
        <a:noFill/>
        <a:ln w="6350" cmpd="sng">
          <a:solidFill>
            <a:srgbClr val="548235"/>
          </a:solidFill>
          <a:prstDash val="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10</xdr:row>
      <xdr:rowOff>104775</xdr:rowOff>
    </xdr:from>
    <xdr:to>
      <xdr:col>4</xdr:col>
      <xdr:colOff>419100</xdr:colOff>
      <xdr:row>13</xdr:row>
      <xdr:rowOff>76200</xdr:rowOff>
    </xdr:to>
    <xdr:sp>
      <xdr:nvSpPr>
        <xdr:cNvPr id="1" name="Connettore 4 2"/>
        <xdr:cNvSpPr>
          <a:spLocks/>
        </xdr:cNvSpPr>
      </xdr:nvSpPr>
      <xdr:spPr>
        <a:xfrm>
          <a:off x="4953000" y="1819275"/>
          <a:ext cx="2057400" cy="447675"/>
        </a:xfrm>
        <a:prstGeom prst="bentConnector3">
          <a:avLst/>
        </a:prstGeom>
        <a:noFill/>
        <a:ln w="6350" cmpd="sng">
          <a:solidFill>
            <a:srgbClr val="548235"/>
          </a:solidFill>
          <a:prstDash val="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104775</xdr:rowOff>
    </xdr:from>
    <xdr:to>
      <xdr:col>4</xdr:col>
      <xdr:colOff>419100</xdr:colOff>
      <xdr:row>32</xdr:row>
      <xdr:rowOff>76200</xdr:rowOff>
    </xdr:to>
    <xdr:sp>
      <xdr:nvSpPr>
        <xdr:cNvPr id="2" name="Connettore 4 9"/>
        <xdr:cNvSpPr>
          <a:spLocks/>
        </xdr:cNvSpPr>
      </xdr:nvSpPr>
      <xdr:spPr>
        <a:xfrm>
          <a:off x="4953000" y="4886325"/>
          <a:ext cx="2057400" cy="447675"/>
        </a:xfrm>
        <a:prstGeom prst="bentConnector3">
          <a:avLst/>
        </a:prstGeom>
        <a:noFill/>
        <a:ln w="6350" cmpd="sng">
          <a:solidFill>
            <a:srgbClr val="548235"/>
          </a:solidFill>
          <a:prstDash val="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tabColor theme="9" tint="0.7999799847602844"/>
  </sheetPr>
  <dimension ref="A1:A3"/>
  <sheetViews>
    <sheetView showGridLines="0" tabSelected="1" zoomScalePageLayoutView="0" workbookViewId="0" topLeftCell="A1">
      <selection activeCell="A4" sqref="A4"/>
    </sheetView>
  </sheetViews>
  <sheetFormatPr defaultColWidth="10.625" defaultRowHeight="15.75"/>
  <cols>
    <col min="1" max="1" width="97.375" style="1" bestFit="1" customWidth="1"/>
    <col min="2" max="2" width="14.25390625" style="1" customWidth="1"/>
    <col min="3" max="3" width="27.25390625" style="1" customWidth="1"/>
    <col min="4" max="16384" width="10.625" style="1" customWidth="1"/>
  </cols>
  <sheetData>
    <row r="1" ht="12">
      <c r="A1" s="142" t="s">
        <v>85</v>
      </c>
    </row>
    <row r="2" ht="12">
      <c r="A2" s="143"/>
    </row>
    <row r="3" ht="12.75" thickBot="1">
      <c r="A3" s="144"/>
    </row>
  </sheetData>
  <sheetProtection/>
  <mergeCells count="1">
    <mergeCell ref="A1:A3"/>
  </mergeCells>
  <printOptions/>
  <pageMargins left="0.75" right="0.75" top="1" bottom="1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tabColor theme="9" tint="-0.4999699890613556"/>
  </sheetPr>
  <dimension ref="A1:M23"/>
  <sheetViews>
    <sheetView showGridLines="0" zoomScale="110" zoomScaleNormal="110" zoomScalePageLayoutView="0" workbookViewId="0" topLeftCell="A1">
      <selection activeCell="F15" sqref="F15"/>
    </sheetView>
  </sheetViews>
  <sheetFormatPr defaultColWidth="10.625" defaultRowHeight="15.75"/>
  <cols>
    <col min="1" max="1" width="43.00390625" style="1" customWidth="1"/>
    <col min="2" max="2" width="12.125" style="1" customWidth="1"/>
    <col min="3" max="3" width="22.00390625" style="1" bestFit="1" customWidth="1"/>
    <col min="4" max="4" width="8.125" style="1" customWidth="1"/>
    <col min="5" max="5" width="21.625" style="1" customWidth="1"/>
    <col min="6" max="11" width="12.125" style="1" bestFit="1" customWidth="1"/>
    <col min="12" max="16384" width="10.625" style="1" customWidth="1"/>
  </cols>
  <sheetData>
    <row r="1" spans="1:3" ht="12">
      <c r="A1" s="147" t="s">
        <v>94</v>
      </c>
      <c r="B1" s="148"/>
      <c r="C1" s="149"/>
    </row>
    <row r="2" spans="1:3" ht="12.75" customHeight="1">
      <c r="A2" s="150"/>
      <c r="B2" s="151"/>
      <c r="C2" s="152"/>
    </row>
    <row r="3" spans="1:3" ht="12">
      <c r="A3" s="150"/>
      <c r="B3" s="151"/>
      <c r="C3" s="152"/>
    </row>
    <row r="4" spans="1:3" ht="12.75" thickBot="1">
      <c r="A4" s="153"/>
      <c r="B4" s="154"/>
      <c r="C4" s="155"/>
    </row>
    <row r="5" ht="12.75" thickBot="1"/>
    <row r="6" spans="1:11" ht="12.75" thickBot="1">
      <c r="A6" s="2" t="s">
        <v>69</v>
      </c>
      <c r="B6" s="116"/>
      <c r="E6" s="129" t="s">
        <v>48</v>
      </c>
      <c r="F6" s="130" t="s">
        <v>46</v>
      </c>
      <c r="G6" s="130" t="s">
        <v>34</v>
      </c>
      <c r="H6" s="130" t="s">
        <v>35</v>
      </c>
      <c r="I6" s="130" t="s">
        <v>36</v>
      </c>
      <c r="J6" s="130" t="s">
        <v>37</v>
      </c>
      <c r="K6" s="131" t="s">
        <v>38</v>
      </c>
    </row>
    <row r="7" spans="1:11" ht="12.75" thickBot="1">
      <c r="A7" s="3" t="s">
        <v>2</v>
      </c>
      <c r="B7" s="86">
        <v>41061</v>
      </c>
      <c r="C7" s="2"/>
      <c r="D7" s="2"/>
      <c r="E7" s="111" t="s">
        <v>49</v>
      </c>
      <c r="F7" s="122">
        <f>B7</f>
        <v>41061</v>
      </c>
      <c r="G7" s="122">
        <v>41426</v>
      </c>
      <c r="H7" s="122">
        <v>41791</v>
      </c>
      <c r="I7" s="122">
        <v>42156</v>
      </c>
      <c r="J7" s="122">
        <v>42522</v>
      </c>
      <c r="K7" s="123">
        <v>42887</v>
      </c>
    </row>
    <row r="8" spans="1:12" ht="12">
      <c r="A8" s="4" t="s">
        <v>12</v>
      </c>
      <c r="B8" s="87">
        <v>42887</v>
      </c>
      <c r="C8" s="2"/>
      <c r="D8" s="2"/>
      <c r="E8" s="107" t="s">
        <v>58</v>
      </c>
      <c r="F8" s="99"/>
      <c r="G8" s="99">
        <f>(G7-F7)</f>
        <v>365</v>
      </c>
      <c r="H8" s="99">
        <f>H7-G7</f>
        <v>365</v>
      </c>
      <c r="I8" s="99">
        <f>I7-H7</f>
        <v>365</v>
      </c>
      <c r="J8" s="99">
        <f>J7-I7</f>
        <v>366</v>
      </c>
      <c r="K8" s="5">
        <f>K7-J7</f>
        <v>365</v>
      </c>
      <c r="L8" s="2"/>
    </row>
    <row r="9" spans="1:12" ht="12">
      <c r="A9" s="4" t="s">
        <v>30</v>
      </c>
      <c r="B9" s="87">
        <f>B7</f>
        <v>41061</v>
      </c>
      <c r="C9" s="2"/>
      <c r="D9" s="2"/>
      <c r="E9" s="107" t="s">
        <v>61</v>
      </c>
      <c r="F9" s="99"/>
      <c r="G9" s="99">
        <v>1</v>
      </c>
      <c r="H9" s="99">
        <v>2</v>
      </c>
      <c r="I9" s="99">
        <v>3</v>
      </c>
      <c r="J9" s="99">
        <v>4</v>
      </c>
      <c r="K9" s="5">
        <v>5</v>
      </c>
      <c r="L9" s="2"/>
    </row>
    <row r="10" spans="1:11" ht="12">
      <c r="A10" s="4" t="s">
        <v>52</v>
      </c>
      <c r="B10" s="88">
        <v>100</v>
      </c>
      <c r="C10" s="2"/>
      <c r="D10" s="2"/>
      <c r="E10" s="107" t="s">
        <v>87</v>
      </c>
      <c r="F10" s="99"/>
      <c r="G10" s="124">
        <f>B12*100</f>
        <v>1.4500000000000002</v>
      </c>
      <c r="H10" s="124">
        <f>G10</f>
        <v>1.4500000000000002</v>
      </c>
      <c r="I10" s="124">
        <f>H10</f>
        <v>1.4500000000000002</v>
      </c>
      <c r="J10" s="124">
        <f>I10</f>
        <v>1.4500000000000002</v>
      </c>
      <c r="K10" s="21">
        <f>J10+B14</f>
        <v>101.45</v>
      </c>
    </row>
    <row r="11" spans="1:11" ht="12">
      <c r="A11" s="4" t="s">
        <v>25</v>
      </c>
      <c r="B11" s="89">
        <v>5</v>
      </c>
      <c r="C11" s="2"/>
      <c r="D11" s="2"/>
      <c r="E11" s="132" t="s">
        <v>89</v>
      </c>
      <c r="F11" s="133"/>
      <c r="G11" s="134">
        <f>+B14*(1+$B$17)</f>
        <v>102</v>
      </c>
      <c r="H11" s="134">
        <f>+G11*(1+$B$17)</f>
        <v>104.04</v>
      </c>
      <c r="I11" s="134">
        <f>+H11*(1+$B$17)</f>
        <v>106.1208</v>
      </c>
      <c r="J11" s="134">
        <f>+I11*(1+$B$17)</f>
        <v>108.243216</v>
      </c>
      <c r="K11" s="135">
        <f>+J11*(1+$B$17)</f>
        <v>110.40808032000001</v>
      </c>
    </row>
    <row r="12" spans="1:11" ht="12.75" thickBot="1">
      <c r="A12" s="120" t="s">
        <v>64</v>
      </c>
      <c r="B12" s="121">
        <v>0.0145</v>
      </c>
      <c r="C12" s="2"/>
      <c r="D12" s="2"/>
      <c r="E12" s="111" t="s">
        <v>88</v>
      </c>
      <c r="F12" s="100"/>
      <c r="G12" s="125">
        <f>+$B$12*G11</f>
        <v>1.479</v>
      </c>
      <c r="H12" s="125">
        <f>+$B$12*H11</f>
        <v>1.5085800000000003</v>
      </c>
      <c r="I12" s="125">
        <f>+$B$12*I11</f>
        <v>1.5387516</v>
      </c>
      <c r="J12" s="125">
        <f>+$B$12*J11</f>
        <v>1.569526632</v>
      </c>
      <c r="K12" s="126">
        <f>+$B$12*K11+K11</f>
        <v>112.00899748464</v>
      </c>
    </row>
    <row r="13" spans="1:4" ht="12">
      <c r="A13" s="4" t="s">
        <v>27</v>
      </c>
      <c r="B13" s="91">
        <v>1</v>
      </c>
      <c r="C13" s="2"/>
      <c r="D13" s="2"/>
    </row>
    <row r="14" spans="1:4" ht="12.75" thickBot="1">
      <c r="A14" s="4" t="s">
        <v>28</v>
      </c>
      <c r="B14" s="92">
        <v>100</v>
      </c>
      <c r="C14" s="2"/>
      <c r="D14" s="2"/>
    </row>
    <row r="15" spans="1:13" ht="12.75" thickBot="1">
      <c r="A15" s="4" t="s">
        <v>29</v>
      </c>
      <c r="B15" s="118" t="s">
        <v>57</v>
      </c>
      <c r="C15" s="2"/>
      <c r="D15" s="2"/>
      <c r="E15" s="128" t="s">
        <v>55</v>
      </c>
      <c r="F15" s="103">
        <f>+G16+H17+I18+J19+K20</f>
        <v>100.00000872150575</v>
      </c>
      <c r="G15" s="90" t="str">
        <f>getformula(F15)</f>
        <v>&lt;--  =+G16+H17+I18+J19+K20</v>
      </c>
      <c r="H15" s="50"/>
      <c r="I15" s="50"/>
      <c r="J15" s="50"/>
      <c r="K15" s="50"/>
      <c r="L15" s="50"/>
      <c r="M15" s="52"/>
    </row>
    <row r="16" spans="1:13" ht="12.75" thickBot="1">
      <c r="A16" s="78" t="s">
        <v>65</v>
      </c>
      <c r="B16" s="103">
        <f>+K11</f>
        <v>110.40808032000001</v>
      </c>
      <c r="C16" s="2"/>
      <c r="D16" s="2"/>
      <c r="E16" s="10"/>
      <c r="F16" s="44"/>
      <c r="G16" s="101">
        <f>G12/(1+$B$18)^G9</f>
        <v>1.4292755308287513</v>
      </c>
      <c r="H16" s="45" t="str">
        <f>getformula(G16)</f>
        <v>&lt;--  =G12/(1+$B$18)^G9</v>
      </c>
      <c r="I16" s="44"/>
      <c r="J16" s="44"/>
      <c r="K16" s="44"/>
      <c r="L16" s="44"/>
      <c r="M16" s="46"/>
    </row>
    <row r="17" spans="1:13" ht="12.75" thickBot="1">
      <c r="A17" s="4" t="s">
        <v>67</v>
      </c>
      <c r="B17" s="119">
        <v>0.02</v>
      </c>
      <c r="C17" s="2"/>
      <c r="D17" s="2"/>
      <c r="E17" s="10"/>
      <c r="F17" s="44"/>
      <c r="G17" s="44"/>
      <c r="H17" s="101">
        <f>H12/(1+$B$18)^H9</f>
        <v>1.408847271052282</v>
      </c>
      <c r="I17" s="45" t="str">
        <f>getformula(H17)</f>
        <v>&lt;--  =H12/(1+$B$18)^H9</v>
      </c>
      <c r="J17" s="44"/>
      <c r="K17" s="44"/>
      <c r="L17" s="44"/>
      <c r="M17" s="46"/>
    </row>
    <row r="18" spans="1:13" ht="12.75" thickBot="1">
      <c r="A18" s="78" t="s">
        <v>66</v>
      </c>
      <c r="B18" s="93">
        <v>0.03478998142675589</v>
      </c>
      <c r="C18" s="2" t="str">
        <f>getformula(B18)</f>
        <v>&lt;--  0.0347899814267559</v>
      </c>
      <c r="D18" s="2"/>
      <c r="E18" s="4"/>
      <c r="F18" s="44"/>
      <c r="G18" s="44"/>
      <c r="H18" s="44"/>
      <c r="I18" s="101">
        <f>I12/(1+$B$18)^I9</f>
        <v>1.3887109870275087</v>
      </c>
      <c r="J18" s="45" t="str">
        <f>getformula(I18)</f>
        <v>&lt;--  =I12/(1+$B$18)^I9</v>
      </c>
      <c r="K18" s="45"/>
      <c r="L18" s="44"/>
      <c r="M18" s="46"/>
    </row>
    <row r="19" spans="5:13" ht="12">
      <c r="E19" s="4"/>
      <c r="F19" s="44"/>
      <c r="G19" s="44"/>
      <c r="H19" s="44"/>
      <c r="I19" s="44"/>
      <c r="J19" s="101">
        <f>J12/(1+$B$18)^J9</f>
        <v>1.3688625056216979</v>
      </c>
      <c r="K19" s="45" t="str">
        <f>getformula(J19)</f>
        <v>&lt;--  =J12/(1+$B$18)^J9</v>
      </c>
      <c r="L19" s="44"/>
      <c r="M19" s="46"/>
    </row>
    <row r="20" spans="2:13" ht="12.75" thickBot="1">
      <c r="B20" s="1" t="s">
        <v>70</v>
      </c>
      <c r="E20" s="69"/>
      <c r="F20" s="56"/>
      <c r="G20" s="56"/>
      <c r="H20" s="56"/>
      <c r="I20" s="56"/>
      <c r="J20" s="56"/>
      <c r="K20" s="127">
        <f>K12/(1+$B$18)^K9</f>
        <v>94.40431242697551</v>
      </c>
      <c r="L20" s="55" t="str">
        <f>getformula(K20)</f>
        <v>&lt;--  =K12/(1+$B$18)^K9</v>
      </c>
      <c r="M20" s="59"/>
    </row>
    <row r="22" spans="2:6" ht="12">
      <c r="B22" s="117"/>
      <c r="F22" s="82"/>
    </row>
    <row r="23" ht="12">
      <c r="B23" s="117"/>
    </row>
  </sheetData>
  <sheetProtection/>
  <mergeCells count="1">
    <mergeCell ref="A1:C4"/>
  </mergeCells>
  <printOptions/>
  <pageMargins left="0.75" right="0.7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>
    <tabColor theme="9" tint="0.7999799847602844"/>
  </sheetPr>
  <dimension ref="A1:C26"/>
  <sheetViews>
    <sheetView showGridLines="0" zoomScalePageLayoutView="0" workbookViewId="0" topLeftCell="A1">
      <selection activeCell="B15" sqref="B15"/>
    </sheetView>
  </sheetViews>
  <sheetFormatPr defaultColWidth="10.625" defaultRowHeight="15.75"/>
  <cols>
    <col min="1" max="1" width="97.375" style="1" bestFit="1" customWidth="1"/>
    <col min="2" max="2" width="14.25390625" style="1" customWidth="1"/>
    <col min="3" max="3" width="27.25390625" style="1" customWidth="1"/>
    <col min="4" max="16384" width="10.625" style="1" customWidth="1"/>
  </cols>
  <sheetData>
    <row r="1" ht="12">
      <c r="A1" s="142" t="s">
        <v>85</v>
      </c>
    </row>
    <row r="2" ht="12">
      <c r="A2" s="143"/>
    </row>
    <row r="3" ht="12.75" thickBot="1">
      <c r="A3" s="144"/>
    </row>
    <row r="6" ht="12.75" thickBot="1">
      <c r="A6" s="16" t="s">
        <v>14</v>
      </c>
    </row>
    <row r="7" spans="1:3" ht="12">
      <c r="A7" s="3" t="s">
        <v>2</v>
      </c>
      <c r="B7" s="14">
        <v>43221</v>
      </c>
      <c r="C7" s="145" t="s">
        <v>77</v>
      </c>
    </row>
    <row r="8" spans="1:3" ht="12.75" thickBot="1">
      <c r="A8" s="4" t="s">
        <v>12</v>
      </c>
      <c r="B8" s="15">
        <v>43404</v>
      </c>
      <c r="C8" s="146"/>
    </row>
    <row r="9" spans="1:3" ht="12">
      <c r="A9" s="4" t="s">
        <v>24</v>
      </c>
      <c r="B9" s="5">
        <v>100</v>
      </c>
      <c r="C9" s="17"/>
    </row>
    <row r="10" spans="1:3" ht="12">
      <c r="A10" s="4" t="s">
        <v>11</v>
      </c>
      <c r="B10" s="5">
        <f>B8-B7</f>
        <v>183</v>
      </c>
      <c r="C10" s="17" t="str">
        <f>getformula(B10)</f>
        <v>&lt;--  =B8-B7</v>
      </c>
    </row>
    <row r="11" spans="1:3" ht="12">
      <c r="A11" s="4" t="s">
        <v>18</v>
      </c>
      <c r="B11" s="5">
        <v>360</v>
      </c>
      <c r="C11" s="17"/>
    </row>
    <row r="12" spans="1:3" ht="12">
      <c r="A12" s="4" t="s">
        <v>19</v>
      </c>
      <c r="B12" s="7">
        <f>B10/B11</f>
        <v>0.5083333333333333</v>
      </c>
      <c r="C12" s="17" t="str">
        <f>getformula(B12)</f>
        <v>&lt;--  =B10/B11</v>
      </c>
    </row>
    <row r="13" spans="1:3" ht="12.75" thickBot="1">
      <c r="A13" s="4" t="s">
        <v>15</v>
      </c>
      <c r="B13" s="8">
        <f>98.55</f>
        <v>98.55</v>
      </c>
      <c r="C13" s="17"/>
    </row>
    <row r="14" spans="1:3" ht="12">
      <c r="A14" s="25" t="s">
        <v>0</v>
      </c>
      <c r="B14" s="26">
        <f>(B9-B13)/(B13*B12)</f>
        <v>0.028944282256655997</v>
      </c>
      <c r="C14" s="17" t="str">
        <f>getformula(B14)</f>
        <v>&lt;--  =(B9-B13)/(B13*B12)</v>
      </c>
    </row>
    <row r="15" spans="1:3" ht="12.75" thickBot="1">
      <c r="A15" s="12" t="s">
        <v>1</v>
      </c>
      <c r="B15" s="27">
        <f>(B9/B13)^(1/B12)-1</f>
        <v>0.029150201418647992</v>
      </c>
      <c r="C15" s="17" t="str">
        <f>getformula(B15)</f>
        <v>&lt;--  =(B9/B13)^(1/B12)-1</v>
      </c>
    </row>
    <row r="16" spans="1:3" ht="12">
      <c r="A16" s="18" t="s">
        <v>16</v>
      </c>
      <c r="B16" s="8">
        <f>B13</f>
        <v>98.55</v>
      </c>
      <c r="C16" s="19"/>
    </row>
    <row r="17" spans="1:3" ht="12">
      <c r="A17" s="4" t="s">
        <v>20</v>
      </c>
      <c r="B17" s="136">
        <v>0.125</v>
      </c>
      <c r="C17" s="17"/>
    </row>
    <row r="18" spans="1:3" ht="12">
      <c r="A18" s="10" t="s">
        <v>21</v>
      </c>
      <c r="B18" s="20">
        <f>(B9-B16)*B17</f>
        <v>0.18125000000000036</v>
      </c>
      <c r="C18" s="17" t="str">
        <f>getformula(B18)</f>
        <v>&lt;--  =(B9-B16)*B17</v>
      </c>
    </row>
    <row r="19" spans="1:3" ht="12">
      <c r="A19" s="4" t="s">
        <v>13</v>
      </c>
      <c r="B19" s="21">
        <f>ROUND(B18,2)</f>
        <v>0.18</v>
      </c>
      <c r="C19" s="17" t="str">
        <f>getformula(B19)</f>
        <v>&lt;--  =ARROTONDA(B18;2)</v>
      </c>
    </row>
    <row r="20" spans="1:3" ht="12.75" thickBot="1">
      <c r="A20" s="4" t="s">
        <v>3</v>
      </c>
      <c r="B20" s="7">
        <f>B16+B19</f>
        <v>98.73</v>
      </c>
      <c r="C20" s="17" t="str">
        <f>getformula(B20)</f>
        <v>&lt;--  =B16+B19</v>
      </c>
    </row>
    <row r="21" spans="1:3" ht="12">
      <c r="A21" s="25" t="s">
        <v>9</v>
      </c>
      <c r="B21" s="26">
        <f>(B9-B20)/(B20*B12)</f>
        <v>0.025304979800847737</v>
      </c>
      <c r="C21" s="17" t="str">
        <f>getformula(B21)</f>
        <v>&lt;--  =(B9-B20)/(B20*B12)</v>
      </c>
    </row>
    <row r="22" spans="1:3" ht="12.75" thickBot="1">
      <c r="A22" s="12" t="s">
        <v>10</v>
      </c>
      <c r="B22" s="27">
        <f>(B9/B20)^(1/B12)-1</f>
        <v>0.02546237515272276</v>
      </c>
      <c r="C22" s="22" t="str">
        <f>getformula(B22)</f>
        <v>&lt;--  =(B9/B20)^(1/B12)-1</v>
      </c>
    </row>
    <row r="23" spans="1:3" ht="12">
      <c r="A23" s="10" t="s">
        <v>4</v>
      </c>
      <c r="B23" s="8">
        <v>0.3</v>
      </c>
      <c r="C23" s="17"/>
    </row>
    <row r="24" spans="1:3" ht="12.75" thickBot="1">
      <c r="A24" s="4" t="s">
        <v>5</v>
      </c>
      <c r="B24" s="7">
        <f>B20+B23</f>
        <v>99.03</v>
      </c>
      <c r="C24" s="17" t="str">
        <f>getformula(B24)</f>
        <v>&lt;--  =B20+B23</v>
      </c>
    </row>
    <row r="25" spans="1:3" ht="12">
      <c r="A25" s="25" t="s">
        <v>6</v>
      </c>
      <c r="B25" s="26">
        <f>(B9-B24)/(B24*B12)</f>
        <v>0.01926887530355926</v>
      </c>
      <c r="C25" s="17" t="str">
        <f>getformula(B25)</f>
        <v>&lt;--  =(B9-B24)/(B24*B12)</v>
      </c>
    </row>
    <row r="26" spans="1:3" ht="12.75" thickBot="1">
      <c r="A26" s="12" t="s">
        <v>7</v>
      </c>
      <c r="B26" s="27">
        <f>(B9/B24)^(1/B12)-1</f>
        <v>0.019360140906261147</v>
      </c>
      <c r="C26" s="23" t="str">
        <f>getformula(B26)</f>
        <v>&lt;--  =(B9/B24)^(1/B12)-1</v>
      </c>
    </row>
  </sheetData>
  <sheetProtection/>
  <mergeCells count="2">
    <mergeCell ref="C7:C8"/>
    <mergeCell ref="A1:A3"/>
  </mergeCells>
  <printOptions/>
  <pageMargins left="0.75" right="0.75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3">
    <tabColor theme="9" tint="0.5999900102615356"/>
  </sheetPr>
  <dimension ref="B1:B3"/>
  <sheetViews>
    <sheetView showGridLines="0" zoomScalePageLayoutView="0" workbookViewId="0" topLeftCell="B1">
      <selection activeCell="B4" sqref="B4"/>
    </sheetView>
  </sheetViews>
  <sheetFormatPr defaultColWidth="22.625" defaultRowHeight="15.75"/>
  <cols>
    <col min="1" max="1" width="22.625" style="1" customWidth="1"/>
    <col min="2" max="2" width="64.50390625" style="1" customWidth="1"/>
    <col min="3" max="3" width="16.25390625" style="1" customWidth="1"/>
    <col min="4" max="16384" width="22.625" style="1" customWidth="1"/>
  </cols>
  <sheetData>
    <row r="1" ht="12">
      <c r="B1" s="142" t="s">
        <v>90</v>
      </c>
    </row>
    <row r="2" ht="12">
      <c r="B2" s="143"/>
    </row>
    <row r="3" ht="25.5" customHeight="1" thickBot="1">
      <c r="B3" s="144"/>
    </row>
  </sheetData>
  <sheetProtection/>
  <mergeCells count="1">
    <mergeCell ref="B1:B3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>
    <tabColor theme="9" tint="0.5999900102615356"/>
  </sheetPr>
  <dimension ref="B1:D18"/>
  <sheetViews>
    <sheetView showGridLines="0" zoomScalePageLayoutView="0" workbookViewId="0" topLeftCell="B1">
      <selection activeCell="C18" sqref="C18"/>
    </sheetView>
  </sheetViews>
  <sheetFormatPr defaultColWidth="22.625" defaultRowHeight="15.75"/>
  <cols>
    <col min="1" max="1" width="22.625" style="1" customWidth="1"/>
    <col min="2" max="2" width="64.50390625" style="1" customWidth="1"/>
    <col min="3" max="3" width="16.25390625" style="1" customWidth="1"/>
    <col min="4" max="16384" width="22.625" style="1" customWidth="1"/>
  </cols>
  <sheetData>
    <row r="1" ht="12">
      <c r="B1" s="142" t="s">
        <v>90</v>
      </c>
    </row>
    <row r="2" ht="12">
      <c r="B2" s="143"/>
    </row>
    <row r="3" ht="25.5" customHeight="1" thickBot="1">
      <c r="B3" s="144"/>
    </row>
    <row r="5" ht="12.75" thickBot="1">
      <c r="B5" s="2" t="s">
        <v>17</v>
      </c>
    </row>
    <row r="6" spans="2:4" ht="12">
      <c r="B6" s="3" t="s">
        <v>2</v>
      </c>
      <c r="C6" s="14">
        <v>43311</v>
      </c>
      <c r="D6" s="145" t="s">
        <v>77</v>
      </c>
    </row>
    <row r="7" spans="2:4" ht="12.75" thickBot="1">
      <c r="B7" s="4" t="s">
        <v>12</v>
      </c>
      <c r="C7" s="15">
        <v>44042</v>
      </c>
      <c r="D7" s="146"/>
    </row>
    <row r="8" spans="2:4" ht="12">
      <c r="B8" s="4" t="s">
        <v>24</v>
      </c>
      <c r="C8" s="5">
        <v>100</v>
      </c>
      <c r="D8" s="6"/>
    </row>
    <row r="9" spans="2:4" ht="12">
      <c r="B9" s="4" t="s">
        <v>11</v>
      </c>
      <c r="C9" s="5">
        <f>C7-C6</f>
        <v>731</v>
      </c>
      <c r="D9" s="6" t="str">
        <f aca="true" t="shared" si="0" ref="D9:D18">getformula(C9)</f>
        <v>&lt;--  =C7-C6</v>
      </c>
    </row>
    <row r="10" spans="2:4" ht="12">
      <c r="B10" s="4" t="s">
        <v>18</v>
      </c>
      <c r="C10" s="5">
        <v>365</v>
      </c>
      <c r="D10" s="6"/>
    </row>
    <row r="11" spans="2:4" ht="12">
      <c r="B11" s="4" t="s">
        <v>74</v>
      </c>
      <c r="C11" s="7">
        <f>C9/C10</f>
        <v>2.0027397260273974</v>
      </c>
      <c r="D11" s="6" t="str">
        <f t="shared" si="0"/>
        <v>&lt;--  =C9/C10</v>
      </c>
    </row>
    <row r="12" spans="2:4" ht="12.75" thickBot="1">
      <c r="B12" s="4" t="s">
        <v>15</v>
      </c>
      <c r="C12" s="8">
        <v>92.45</v>
      </c>
      <c r="D12" s="6"/>
    </row>
    <row r="13" spans="2:4" ht="12.75" thickBot="1">
      <c r="B13" s="28" t="s">
        <v>1</v>
      </c>
      <c r="C13" s="24">
        <f>((C8/C12)^(1/C11))-1</f>
        <v>0.03997577434504751</v>
      </c>
      <c r="D13" s="6" t="str">
        <f t="shared" si="0"/>
        <v>&lt;--  =((C8/C12)^(1/C11))-1</v>
      </c>
    </row>
    <row r="14" spans="2:4" ht="12">
      <c r="B14" s="3" t="s">
        <v>16</v>
      </c>
      <c r="C14" s="9">
        <f>C12</f>
        <v>92.45</v>
      </c>
      <c r="D14" s="6" t="str">
        <f t="shared" si="0"/>
        <v>&lt;--  =C12</v>
      </c>
    </row>
    <row r="15" spans="2:4" ht="12">
      <c r="B15" s="10" t="s">
        <v>20</v>
      </c>
      <c r="C15" s="11">
        <v>0.125</v>
      </c>
      <c r="D15" s="6"/>
    </row>
    <row r="16" spans="2:4" ht="12">
      <c r="B16" s="4" t="s">
        <v>8</v>
      </c>
      <c r="C16" s="7">
        <f>(C8-C14)*C15</f>
        <v>0.9437499999999996</v>
      </c>
      <c r="D16" s="6" t="str">
        <f t="shared" si="0"/>
        <v>&lt;--  =(C8-C14)*C15</v>
      </c>
    </row>
    <row r="17" spans="2:4" ht="12.75" thickBot="1">
      <c r="B17" s="4" t="s">
        <v>23</v>
      </c>
      <c r="C17" s="7">
        <f>C8-C16</f>
        <v>99.05625</v>
      </c>
      <c r="D17" s="6" t="str">
        <f t="shared" si="0"/>
        <v>&lt;--  =C8-C16</v>
      </c>
    </row>
    <row r="18" spans="2:4" ht="12.75" thickBot="1">
      <c r="B18" s="28" t="s">
        <v>22</v>
      </c>
      <c r="C18" s="24">
        <f>((C17/C12)^(1/C11))-1</f>
        <v>0.03506346858347875</v>
      </c>
      <c r="D18" s="13" t="str">
        <f t="shared" si="0"/>
        <v>&lt;--  =((C17/C12)^(1/C11))-1</v>
      </c>
    </row>
  </sheetData>
  <sheetProtection/>
  <mergeCells count="2">
    <mergeCell ref="D6:D7"/>
    <mergeCell ref="B1:B3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>
    <tabColor theme="9" tint="0.39998000860214233"/>
  </sheetPr>
  <dimension ref="B1:S9"/>
  <sheetViews>
    <sheetView showGridLines="0" zoomScale="140" zoomScaleNormal="140" zoomScalePageLayoutView="0" workbookViewId="0" topLeftCell="A1">
      <selection activeCell="D15" sqref="D15"/>
    </sheetView>
  </sheetViews>
  <sheetFormatPr defaultColWidth="10.625" defaultRowHeight="15.75"/>
  <cols>
    <col min="1" max="1" width="2.375" style="1" customWidth="1"/>
    <col min="2" max="2" width="33.875" style="1" bestFit="1" customWidth="1"/>
    <col min="3" max="3" width="12.125" style="1" bestFit="1" customWidth="1"/>
    <col min="4" max="4" width="32.875" style="1" customWidth="1"/>
    <col min="5" max="5" width="5.875" style="1" customWidth="1"/>
    <col min="6" max="6" width="12.375" style="1" customWidth="1"/>
    <col min="7" max="7" width="10.625" style="1" customWidth="1"/>
    <col min="8" max="8" width="19.00390625" style="1" bestFit="1" customWidth="1"/>
    <col min="9" max="9" width="17.75390625" style="1" bestFit="1" customWidth="1"/>
    <col min="10" max="10" width="19.25390625" style="1" bestFit="1" customWidth="1"/>
    <col min="11" max="11" width="17.125" style="1" bestFit="1" customWidth="1"/>
    <col min="12" max="12" width="17.625" style="1" bestFit="1" customWidth="1"/>
    <col min="13" max="13" width="19.00390625" style="1" bestFit="1" customWidth="1"/>
    <col min="14" max="14" width="17.125" style="1" bestFit="1" customWidth="1"/>
    <col min="15" max="15" width="16.50390625" style="1" bestFit="1" customWidth="1"/>
    <col min="16" max="16" width="17.75390625" style="1" bestFit="1" customWidth="1"/>
    <col min="17" max="17" width="19.25390625" style="1" bestFit="1" customWidth="1"/>
    <col min="18" max="18" width="17.625" style="1" bestFit="1" customWidth="1"/>
    <col min="19" max="19" width="16.75390625" style="1" bestFit="1" customWidth="1"/>
    <col min="20" max="16384" width="10.625" style="1" customWidth="1"/>
  </cols>
  <sheetData>
    <row r="1" spans="2:4" ht="12">
      <c r="B1" s="147" t="s">
        <v>92</v>
      </c>
      <c r="C1" s="148"/>
      <c r="D1" s="149"/>
    </row>
    <row r="2" spans="2:4" ht="12">
      <c r="B2" s="150"/>
      <c r="C2" s="151"/>
      <c r="D2" s="152"/>
    </row>
    <row r="3" spans="2:4" ht="12">
      <c r="B3" s="150"/>
      <c r="C3" s="151"/>
      <c r="D3" s="152"/>
    </row>
    <row r="4" spans="2:4" ht="12.75" thickBot="1">
      <c r="B4" s="153"/>
      <c r="C4" s="154"/>
      <c r="D4" s="155"/>
    </row>
    <row r="7" spans="6:19" ht="12"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6:19" ht="12">
      <c r="F8" s="98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6:19" ht="12"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</sheetData>
  <sheetProtection/>
  <mergeCells count="1">
    <mergeCell ref="B1:D4"/>
  </mergeCells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>
    <tabColor theme="9" tint="0.39998000860214233"/>
  </sheetPr>
  <dimension ref="B1:T27"/>
  <sheetViews>
    <sheetView showGridLines="0" zoomScale="90" zoomScaleNormal="90" zoomScaleSheetLayoutView="120" zoomScalePageLayoutView="0" workbookViewId="0" topLeftCell="A1">
      <selection activeCell="C23" sqref="C23"/>
    </sheetView>
  </sheetViews>
  <sheetFormatPr defaultColWidth="10.625" defaultRowHeight="15.75"/>
  <cols>
    <col min="1" max="1" width="2.375" style="1" customWidth="1"/>
    <col min="2" max="2" width="33.875" style="1" bestFit="1" customWidth="1"/>
    <col min="3" max="3" width="12.125" style="1" bestFit="1" customWidth="1"/>
    <col min="4" max="4" width="32.875" style="1" customWidth="1"/>
    <col min="5" max="5" width="5.875" style="1" customWidth="1"/>
    <col min="6" max="6" width="18.00390625" style="1" customWidth="1"/>
    <col min="7" max="7" width="2.25390625" style="1" bestFit="1" customWidth="1"/>
    <col min="8" max="14" width="13.375" style="1" customWidth="1"/>
    <col min="15" max="15" width="19.625" style="1" customWidth="1"/>
    <col min="16" max="19" width="13.375" style="1" customWidth="1"/>
    <col min="20" max="20" width="21.375" style="1" customWidth="1"/>
    <col min="21" max="16384" width="10.625" style="1" customWidth="1"/>
  </cols>
  <sheetData>
    <row r="1" spans="2:4" ht="12">
      <c r="B1" s="147" t="s">
        <v>91</v>
      </c>
      <c r="C1" s="148"/>
      <c r="D1" s="149"/>
    </row>
    <row r="2" spans="2:6" ht="12">
      <c r="B2" s="150"/>
      <c r="C2" s="151"/>
      <c r="D2" s="152"/>
      <c r="F2" s="2" t="s">
        <v>78</v>
      </c>
    </row>
    <row r="3" spans="2:6" ht="12.75" thickBot="1">
      <c r="B3" s="150"/>
      <c r="C3" s="151"/>
      <c r="D3" s="152"/>
      <c r="F3" s="2"/>
    </row>
    <row r="4" spans="2:19" ht="12.75" thickBot="1">
      <c r="B4" s="153"/>
      <c r="C4" s="154"/>
      <c r="D4" s="155"/>
      <c r="F4" s="29" t="s">
        <v>48</v>
      </c>
      <c r="G4" s="30"/>
      <c r="H4" s="31" t="s">
        <v>46</v>
      </c>
      <c r="I4" s="31" t="s">
        <v>34</v>
      </c>
      <c r="J4" s="31" t="s">
        <v>35</v>
      </c>
      <c r="K4" s="31" t="s">
        <v>36</v>
      </c>
      <c r="L4" s="31" t="s">
        <v>37</v>
      </c>
      <c r="M4" s="31" t="s">
        <v>38</v>
      </c>
      <c r="N4" s="32" t="s">
        <v>47</v>
      </c>
      <c r="O4" s="31" t="s">
        <v>39</v>
      </c>
      <c r="P4" s="31" t="s">
        <v>40</v>
      </c>
      <c r="Q4" s="31" t="s">
        <v>41</v>
      </c>
      <c r="R4" s="31" t="s">
        <v>42</v>
      </c>
      <c r="S4" s="33" t="s">
        <v>43</v>
      </c>
    </row>
    <row r="5" spans="6:19" ht="12.75" thickBot="1">
      <c r="F5" s="29" t="s">
        <v>49</v>
      </c>
      <c r="G5" s="34"/>
      <c r="H5" s="35">
        <f>C8</f>
        <v>40664</v>
      </c>
      <c r="I5" s="35">
        <v>41030</v>
      </c>
      <c r="J5" s="35">
        <v>41395</v>
      </c>
      <c r="K5" s="35">
        <v>41760</v>
      </c>
      <c r="L5" s="35">
        <v>42125</v>
      </c>
      <c r="M5" s="35">
        <v>42491</v>
      </c>
      <c r="N5" s="36">
        <f>C10</f>
        <v>42587</v>
      </c>
      <c r="O5" s="35">
        <v>42856</v>
      </c>
      <c r="P5" s="35">
        <v>43221</v>
      </c>
      <c r="Q5" s="35">
        <v>43586</v>
      </c>
      <c r="R5" s="35">
        <v>43952</v>
      </c>
      <c r="S5" s="37">
        <v>44317</v>
      </c>
    </row>
    <row r="6" spans="5:20" ht="12.75" thickBot="1">
      <c r="E6" s="2"/>
      <c r="F6" s="29" t="s">
        <v>58</v>
      </c>
      <c r="G6" s="30"/>
      <c r="H6" s="38"/>
      <c r="I6" s="39">
        <f>I5-H5</f>
        <v>366</v>
      </c>
      <c r="J6" s="39">
        <f>J5-I5</f>
        <v>365</v>
      </c>
      <c r="K6" s="39">
        <f>K5-J5</f>
        <v>365</v>
      </c>
      <c r="L6" s="39">
        <f>L5-K5</f>
        <v>365</v>
      </c>
      <c r="M6" s="39">
        <f>M5-L5</f>
        <v>366</v>
      </c>
      <c r="N6" s="40"/>
      <c r="O6" s="39">
        <f>O5-M5</f>
        <v>365</v>
      </c>
      <c r="P6" s="39">
        <f>P5-O5</f>
        <v>365</v>
      </c>
      <c r="Q6" s="39">
        <f>Q5-P5</f>
        <v>365</v>
      </c>
      <c r="R6" s="39">
        <f>R5-Q5</f>
        <v>366</v>
      </c>
      <c r="S6" s="41">
        <f>S5-R5</f>
        <v>365</v>
      </c>
      <c r="T6" s="2"/>
    </row>
    <row r="7" spans="2:19" ht="12.75" thickBot="1">
      <c r="B7" s="2" t="s">
        <v>71</v>
      </c>
      <c r="C7" s="42"/>
      <c r="E7" s="2"/>
      <c r="F7" s="10"/>
      <c r="G7" s="43"/>
      <c r="H7" s="44"/>
      <c r="I7" s="44"/>
      <c r="J7" s="44"/>
      <c r="K7" s="44"/>
      <c r="L7" s="44"/>
      <c r="M7" s="162">
        <f>O5-M5</f>
        <v>365</v>
      </c>
      <c r="N7" s="163"/>
      <c r="O7" s="164"/>
      <c r="P7" s="45"/>
      <c r="Q7" s="45"/>
      <c r="R7" s="44"/>
      <c r="S7" s="46"/>
    </row>
    <row r="8" spans="2:19" ht="12">
      <c r="B8" s="3" t="s">
        <v>2</v>
      </c>
      <c r="C8" s="47">
        <v>40664</v>
      </c>
      <c r="D8" s="2"/>
      <c r="E8" s="2"/>
      <c r="F8" s="48"/>
      <c r="G8" s="45"/>
      <c r="H8" s="44"/>
      <c r="I8" s="44"/>
      <c r="J8" s="49" t="s">
        <v>50</v>
      </c>
      <c r="K8" s="50"/>
      <c r="L8" s="50"/>
      <c r="M8" s="165">
        <f>N5-M5</f>
        <v>96</v>
      </c>
      <c r="N8" s="166"/>
      <c r="O8" s="51" t="str">
        <f>getformula(M8)</f>
        <v>&lt;--  =N5-M5</v>
      </c>
      <c r="P8" s="52"/>
      <c r="Q8" s="44"/>
      <c r="R8" s="44"/>
      <c r="S8" s="46"/>
    </row>
    <row r="9" spans="2:19" ht="12.75" thickBot="1">
      <c r="B9" s="4" t="s">
        <v>12</v>
      </c>
      <c r="C9" s="53">
        <v>44317</v>
      </c>
      <c r="D9" s="2"/>
      <c r="E9" s="2"/>
      <c r="F9" s="54"/>
      <c r="G9" s="55"/>
      <c r="H9" s="56"/>
      <c r="I9" s="56"/>
      <c r="J9" s="57" t="s">
        <v>44</v>
      </c>
      <c r="K9" s="56"/>
      <c r="L9" s="56"/>
      <c r="M9" s="58"/>
      <c r="N9" s="167">
        <f>O5-N5</f>
        <v>269</v>
      </c>
      <c r="O9" s="168"/>
      <c r="P9" s="23" t="str">
        <f>getformula(N9)</f>
        <v>&lt;--  =O5-N5</v>
      </c>
      <c r="Q9" s="56"/>
      <c r="R9" s="56"/>
      <c r="S9" s="59"/>
    </row>
    <row r="10" spans="2:14" ht="12">
      <c r="B10" s="4" t="s">
        <v>30</v>
      </c>
      <c r="C10" s="60">
        <v>42587</v>
      </c>
      <c r="D10" s="2"/>
      <c r="E10" s="2"/>
      <c r="F10" s="2"/>
      <c r="G10" s="2"/>
      <c r="N10" s="169"/>
    </row>
    <row r="11" spans="2:14" ht="12.75" thickBot="1">
      <c r="B11" s="4" t="s">
        <v>45</v>
      </c>
      <c r="C11" s="53">
        <f>M5</f>
        <v>42491</v>
      </c>
      <c r="D11" s="2" t="str">
        <f aca="true" t="shared" si="0" ref="D11:D23">getformula(C11)</f>
        <v>&lt;--  =M5</v>
      </c>
      <c r="E11" s="2"/>
      <c r="F11" s="2"/>
      <c r="G11" s="2"/>
      <c r="N11" s="169"/>
    </row>
    <row r="12" spans="2:15" ht="12.75" thickBot="1">
      <c r="B12" s="4" t="s">
        <v>33</v>
      </c>
      <c r="C12" s="61">
        <f>O5</f>
        <v>42856</v>
      </c>
      <c r="D12" s="2" t="str">
        <f t="shared" si="0"/>
        <v>&lt;--  =O5</v>
      </c>
      <c r="E12" s="2"/>
      <c r="F12" s="29" t="s">
        <v>53</v>
      </c>
      <c r="G12" s="38"/>
      <c r="H12" s="38"/>
      <c r="I12" s="31" t="s">
        <v>46</v>
      </c>
      <c r="J12" s="31" t="s">
        <v>34</v>
      </c>
      <c r="K12" s="31" t="s">
        <v>35</v>
      </c>
      <c r="L12" s="31" t="s">
        <v>36</v>
      </c>
      <c r="M12" s="31" t="s">
        <v>37</v>
      </c>
      <c r="N12" s="31" t="s">
        <v>38</v>
      </c>
      <c r="O12" s="62"/>
    </row>
    <row r="13" spans="2:15" ht="12">
      <c r="B13" s="4" t="s">
        <v>50</v>
      </c>
      <c r="C13" s="139">
        <f>M8</f>
        <v>96</v>
      </c>
      <c r="D13" s="2" t="str">
        <f t="shared" si="0"/>
        <v>&lt;--  =M8</v>
      </c>
      <c r="E13" s="2"/>
      <c r="F13" s="10" t="s">
        <v>84</v>
      </c>
      <c r="G13" s="46"/>
      <c r="H13" s="64">
        <v>1</v>
      </c>
      <c r="I13" s="156">
        <f>N9/C24</f>
        <v>0.736986301369863</v>
      </c>
      <c r="J13" s="157"/>
      <c r="K13" s="45" t="str">
        <f>getformula(I13)</f>
        <v>&lt;--  =N9/C24</v>
      </c>
      <c r="L13" s="44"/>
      <c r="M13" s="44"/>
      <c r="N13" s="44"/>
      <c r="O13" s="46"/>
    </row>
    <row r="14" spans="2:15" ht="12">
      <c r="B14" s="4" t="s">
        <v>44</v>
      </c>
      <c r="C14" s="139">
        <f>N9</f>
        <v>269</v>
      </c>
      <c r="D14" s="2" t="str">
        <f t="shared" si="0"/>
        <v>&lt;--  =N9</v>
      </c>
      <c r="E14" s="2"/>
      <c r="F14" s="4"/>
      <c r="G14" s="46"/>
      <c r="H14" s="65">
        <v>2</v>
      </c>
      <c r="I14" s="66"/>
      <c r="J14" s="158">
        <f>H13+$I$13</f>
        <v>1.736986301369863</v>
      </c>
      <c r="K14" s="159"/>
      <c r="L14" s="45" t="str">
        <f>getformula(J14)</f>
        <v>&lt;--  =H13+$I$13</v>
      </c>
      <c r="M14" s="44"/>
      <c r="N14" s="44"/>
      <c r="O14" s="46"/>
    </row>
    <row r="15" spans="2:15" ht="12">
      <c r="B15" s="4" t="s">
        <v>52</v>
      </c>
      <c r="C15" s="67">
        <v>103</v>
      </c>
      <c r="D15" s="2"/>
      <c r="E15" s="2"/>
      <c r="F15" s="4"/>
      <c r="G15" s="46"/>
      <c r="H15" s="65">
        <v>3</v>
      </c>
      <c r="I15" s="66"/>
      <c r="J15" s="44"/>
      <c r="K15" s="158">
        <f>H14+$I$13</f>
        <v>2.736986301369863</v>
      </c>
      <c r="L15" s="159"/>
      <c r="M15" s="45" t="str">
        <f>getformula(K15)</f>
        <v>&lt;--  =H14+$I$13</v>
      </c>
      <c r="N15" s="44"/>
      <c r="O15" s="46"/>
    </row>
    <row r="16" spans="2:15" ht="12">
      <c r="B16" s="4" t="s">
        <v>25</v>
      </c>
      <c r="C16" s="63">
        <v>10</v>
      </c>
      <c r="D16" s="2"/>
      <c r="E16" s="2"/>
      <c r="F16" s="4"/>
      <c r="G16" s="46"/>
      <c r="H16" s="65">
        <v>4</v>
      </c>
      <c r="I16" s="66"/>
      <c r="J16" s="44"/>
      <c r="K16" s="44"/>
      <c r="L16" s="158">
        <f>H15+$I$13</f>
        <v>3.736986301369863</v>
      </c>
      <c r="M16" s="159"/>
      <c r="N16" s="45" t="str">
        <f>getformula(L16)</f>
        <v>&lt;--  =H15+$I$13</v>
      </c>
      <c r="O16" s="46"/>
    </row>
    <row r="17" spans="2:15" ht="16.5" customHeight="1" thickBot="1">
      <c r="B17" s="4" t="s">
        <v>26</v>
      </c>
      <c r="C17" s="68">
        <v>0.04</v>
      </c>
      <c r="D17" s="2"/>
      <c r="E17" s="2"/>
      <c r="F17" s="69"/>
      <c r="G17" s="59"/>
      <c r="H17" s="70">
        <v>5</v>
      </c>
      <c r="I17" s="71"/>
      <c r="J17" s="56"/>
      <c r="K17" s="56"/>
      <c r="L17" s="56"/>
      <c r="M17" s="160">
        <f>H16+$I$13</f>
        <v>4.736986301369863</v>
      </c>
      <c r="N17" s="161"/>
      <c r="O17" s="23" t="str">
        <f>getformula(M17)</f>
        <v>&lt;--  =H16+$I$13</v>
      </c>
    </row>
    <row r="18" spans="2:5" ht="12">
      <c r="B18" s="4" t="s">
        <v>27</v>
      </c>
      <c r="C18" s="63">
        <v>1</v>
      </c>
      <c r="D18" s="2"/>
      <c r="E18" s="2"/>
    </row>
    <row r="19" spans="2:5" ht="12.75" thickBot="1">
      <c r="B19" s="4" t="s">
        <v>28</v>
      </c>
      <c r="C19" s="72">
        <v>100</v>
      </c>
      <c r="D19" s="2"/>
      <c r="E19" s="2"/>
    </row>
    <row r="20" spans="2:14" ht="12.75" thickBot="1">
      <c r="B20" s="4" t="s">
        <v>29</v>
      </c>
      <c r="C20" s="63" t="s">
        <v>57</v>
      </c>
      <c r="D20" s="2"/>
      <c r="E20" s="2"/>
      <c r="I20" s="73" t="s">
        <v>46</v>
      </c>
      <c r="J20" s="31" t="s">
        <v>34</v>
      </c>
      <c r="K20" s="31" t="s">
        <v>35</v>
      </c>
      <c r="L20" s="31" t="s">
        <v>36</v>
      </c>
      <c r="M20" s="31" t="s">
        <v>37</v>
      </c>
      <c r="N20" s="33" t="s">
        <v>38</v>
      </c>
    </row>
    <row r="21" spans="2:15" ht="12.75" thickBot="1">
      <c r="B21" s="4" t="s">
        <v>15</v>
      </c>
      <c r="C21" s="72">
        <v>97</v>
      </c>
      <c r="D21" s="2"/>
      <c r="E21" s="2"/>
      <c r="F21" s="29" t="s">
        <v>54</v>
      </c>
      <c r="G21" s="62"/>
      <c r="H21" s="38"/>
      <c r="I21" s="74"/>
      <c r="J21" s="75">
        <f>C17*C19</f>
        <v>4</v>
      </c>
      <c r="K21" s="76">
        <f>J21</f>
        <v>4</v>
      </c>
      <c r="L21" s="76">
        <f>K21</f>
        <v>4</v>
      </c>
      <c r="M21" s="76">
        <f>L21</f>
        <v>4</v>
      </c>
      <c r="N21" s="76">
        <f>M21+C19</f>
        <v>104</v>
      </c>
      <c r="O21" s="62"/>
    </row>
    <row r="22" spans="2:15" ht="12.75" thickBot="1">
      <c r="B22" s="78" t="s">
        <v>31</v>
      </c>
      <c r="C22" s="79">
        <f>(C19*C17)*C13/C24</f>
        <v>1.0520547945205478</v>
      </c>
      <c r="D22" s="2" t="str">
        <f t="shared" si="0"/>
        <v>&lt;--  =(C19*C17)*C13/C24</v>
      </c>
      <c r="E22" s="2"/>
      <c r="F22" s="29" t="s">
        <v>55</v>
      </c>
      <c r="G22" s="62"/>
      <c r="H22" s="38"/>
      <c r="I22" s="77">
        <f>+J23+K24+L25+M26+N27</f>
        <v>104.05191878311051</v>
      </c>
      <c r="J22" s="38"/>
      <c r="K22" s="38"/>
      <c r="L22" s="38"/>
      <c r="M22" s="38"/>
      <c r="N22" s="38"/>
      <c r="O22" s="62"/>
    </row>
    <row r="23" spans="2:15" ht="12.75" thickBot="1">
      <c r="B23" s="78" t="s">
        <v>32</v>
      </c>
      <c r="C23" s="79">
        <f>C15+C22</f>
        <v>104.05205479452054</v>
      </c>
      <c r="D23" s="2" t="str">
        <f t="shared" si="0"/>
        <v>&lt;--  =C15+C22</v>
      </c>
      <c r="F23" s="4"/>
      <c r="G23" s="46"/>
      <c r="H23" s="80" t="s">
        <v>79</v>
      </c>
      <c r="I23" s="66"/>
      <c r="J23" s="81">
        <f>J21/(1+C25)^I13</f>
        <v>3.9053521172806165</v>
      </c>
      <c r="K23" s="45" t="str">
        <f>getformula(J23)</f>
        <v>&lt;--  =J21/(1+C25)^I13</v>
      </c>
      <c r="L23" s="44"/>
      <c r="M23" s="44"/>
      <c r="N23" s="44"/>
      <c r="O23" s="46"/>
    </row>
    <row r="24" spans="2:15" ht="12.75" thickBot="1">
      <c r="B24" s="4" t="s">
        <v>51</v>
      </c>
      <c r="C24" s="5">
        <v>365</v>
      </c>
      <c r="D24" s="2"/>
      <c r="E24" s="82"/>
      <c r="F24" s="4"/>
      <c r="G24" s="46"/>
      <c r="H24" s="80" t="s">
        <v>80</v>
      </c>
      <c r="I24" s="66"/>
      <c r="J24" s="44"/>
      <c r="K24" s="81">
        <f>K21/(1+C25)^J14</f>
        <v>3.780497474647467</v>
      </c>
      <c r="L24" s="45" t="str">
        <f>getformula(K24)</f>
        <v>&lt;--  =K21/(1+C25)^J14</v>
      </c>
      <c r="M24" s="44"/>
      <c r="N24" s="44"/>
      <c r="O24" s="46"/>
    </row>
    <row r="25" spans="2:15" ht="12.75" thickBot="1">
      <c r="B25" s="28" t="s">
        <v>56</v>
      </c>
      <c r="C25" s="140">
        <v>0.03302598228683966</v>
      </c>
      <c r="D25" s="82" t="str">
        <f>getformula(C25)</f>
        <v>&lt;--  0.0330259822868397</v>
      </c>
      <c r="F25" s="4"/>
      <c r="G25" s="46"/>
      <c r="H25" s="80" t="s">
        <v>81</v>
      </c>
      <c r="I25" s="66"/>
      <c r="J25" s="44"/>
      <c r="K25" s="44"/>
      <c r="L25" s="81">
        <f>L21/(1+C25)^K15</f>
        <v>3.6596344520575066</v>
      </c>
      <c r="M25" s="45" t="str">
        <f>getformula(L25)</f>
        <v>&lt;--  =L21/(1+C25)^K15</v>
      </c>
      <c r="N25" s="44"/>
      <c r="O25" s="46"/>
    </row>
    <row r="26" spans="4:15" ht="12">
      <c r="D26" s="83" t="s">
        <v>70</v>
      </c>
      <c r="F26" s="4"/>
      <c r="G26" s="46"/>
      <c r="H26" s="80" t="s">
        <v>82</v>
      </c>
      <c r="I26" s="66"/>
      <c r="J26" s="44"/>
      <c r="K26" s="44"/>
      <c r="L26" s="44"/>
      <c r="M26" s="81">
        <f>M21/(1+C25)^L16</f>
        <v>3.5426354368706847</v>
      </c>
      <c r="N26" s="45" t="str">
        <f>getformula(M26)</f>
        <v>&lt;--  =M21/(1+C25)^L16</v>
      </c>
      <c r="O26" s="46"/>
    </row>
    <row r="27" spans="6:15" ht="12.75" thickBot="1">
      <c r="F27" s="69"/>
      <c r="G27" s="59"/>
      <c r="H27" s="84" t="s">
        <v>83</v>
      </c>
      <c r="I27" s="71"/>
      <c r="J27" s="56"/>
      <c r="K27" s="56"/>
      <c r="L27" s="56"/>
      <c r="M27" s="56"/>
      <c r="N27" s="85">
        <f>N21/(1+C25)^M17</f>
        <v>89.16379930225423</v>
      </c>
      <c r="O27" s="23" t="str">
        <f>getformula(N27)</f>
        <v>&lt;--  =N21/(1+C25)^M17</v>
      </c>
    </row>
  </sheetData>
  <sheetProtection/>
  <mergeCells count="10">
    <mergeCell ref="B1:D4"/>
    <mergeCell ref="I13:J13"/>
    <mergeCell ref="J14:K14"/>
    <mergeCell ref="K15:L15"/>
    <mergeCell ref="L16:M16"/>
    <mergeCell ref="M17:N17"/>
    <mergeCell ref="M7:O7"/>
    <mergeCell ref="M8:N8"/>
    <mergeCell ref="N9:O9"/>
    <mergeCell ref="N10:N11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5">
    <tabColor theme="9" tint="-0.24997000396251678"/>
  </sheetPr>
  <dimension ref="B1:D4"/>
  <sheetViews>
    <sheetView showGridLines="0" zoomScale="160" zoomScaleNormal="160" zoomScalePageLayoutView="0" workbookViewId="0" topLeftCell="A1">
      <selection activeCell="B1" sqref="B1:D4"/>
    </sheetView>
  </sheetViews>
  <sheetFormatPr defaultColWidth="10.625" defaultRowHeight="15.75"/>
  <cols>
    <col min="1" max="1" width="5.00390625" style="1" customWidth="1"/>
    <col min="2" max="2" width="44.375" style="1" customWidth="1"/>
    <col min="3" max="3" width="15.125" style="1" bestFit="1" customWidth="1"/>
    <col min="4" max="4" width="22.00390625" style="1" bestFit="1" customWidth="1"/>
    <col min="5" max="5" width="5.875" style="1" customWidth="1"/>
    <col min="6" max="6" width="15.625" style="1" bestFit="1" customWidth="1"/>
    <col min="7" max="12" width="14.50390625" style="1" customWidth="1"/>
    <col min="13" max="16384" width="10.625" style="1" customWidth="1"/>
  </cols>
  <sheetData>
    <row r="1" spans="2:4" ht="12">
      <c r="B1" s="147" t="s">
        <v>95</v>
      </c>
      <c r="C1" s="148"/>
      <c r="D1" s="149"/>
    </row>
    <row r="2" spans="2:4" ht="12">
      <c r="B2" s="150"/>
      <c r="C2" s="151"/>
      <c r="D2" s="152"/>
    </row>
    <row r="3" spans="2:4" ht="12">
      <c r="B3" s="150"/>
      <c r="C3" s="151"/>
      <c r="D3" s="152"/>
    </row>
    <row r="4" spans="2:4" ht="21.75" customHeight="1" thickBot="1">
      <c r="B4" s="153"/>
      <c r="C4" s="154"/>
      <c r="D4" s="155"/>
    </row>
  </sheetData>
  <sheetProtection/>
  <mergeCells count="1">
    <mergeCell ref="B1:D4"/>
  </mergeCells>
  <printOptions/>
  <pageMargins left="0.75" right="0.75" top="1" bottom="1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>
    <tabColor theme="9" tint="-0.24997000396251678"/>
  </sheetPr>
  <dimension ref="B1:N41"/>
  <sheetViews>
    <sheetView showGridLines="0" zoomScale="120" zoomScaleNormal="120" zoomScalePageLayoutView="0" workbookViewId="0" topLeftCell="A12">
      <selection activeCell="C39" sqref="C39"/>
    </sheetView>
  </sheetViews>
  <sheetFormatPr defaultColWidth="10.625" defaultRowHeight="15.75"/>
  <cols>
    <col min="1" max="1" width="5.00390625" style="1" customWidth="1"/>
    <col min="2" max="2" width="44.375" style="1" customWidth="1"/>
    <col min="3" max="3" width="15.125" style="1" bestFit="1" customWidth="1"/>
    <col min="4" max="4" width="22.00390625" style="1" bestFit="1" customWidth="1"/>
    <col min="5" max="5" width="5.875" style="1" customWidth="1"/>
    <col min="6" max="6" width="15.625" style="1" bestFit="1" customWidth="1"/>
    <col min="7" max="12" width="14.50390625" style="1" customWidth="1"/>
    <col min="13" max="16384" width="10.625" style="1" customWidth="1"/>
  </cols>
  <sheetData>
    <row r="1" spans="2:4" ht="12">
      <c r="B1" s="147" t="s">
        <v>93</v>
      </c>
      <c r="C1" s="148"/>
      <c r="D1" s="149"/>
    </row>
    <row r="2" spans="2:4" ht="12">
      <c r="B2" s="150"/>
      <c r="C2" s="151"/>
      <c r="D2" s="152"/>
    </row>
    <row r="3" spans="2:4" ht="12">
      <c r="B3" s="150"/>
      <c r="C3" s="151"/>
      <c r="D3" s="152"/>
    </row>
    <row r="4" spans="2:4" ht="21.75" customHeight="1" thickBot="1">
      <c r="B4" s="153"/>
      <c r="C4" s="154"/>
      <c r="D4" s="155"/>
    </row>
    <row r="6" ht="12.75" thickBot="1"/>
    <row r="7" spans="2:12" ht="12.75" thickBot="1">
      <c r="B7" s="2" t="s">
        <v>68</v>
      </c>
      <c r="C7" s="42"/>
      <c r="F7" s="29" t="s">
        <v>48</v>
      </c>
      <c r="G7" s="31" t="s">
        <v>46</v>
      </c>
      <c r="H7" s="31" t="s">
        <v>34</v>
      </c>
      <c r="I7" s="31" t="s">
        <v>35</v>
      </c>
      <c r="J7" s="31" t="s">
        <v>36</v>
      </c>
      <c r="K7" s="31" t="s">
        <v>37</v>
      </c>
      <c r="L7" s="33" t="s">
        <v>38</v>
      </c>
    </row>
    <row r="8" spans="2:12" ht="12">
      <c r="B8" s="3" t="s">
        <v>2</v>
      </c>
      <c r="C8" s="94">
        <v>41091</v>
      </c>
      <c r="D8" s="2"/>
      <c r="E8" s="2"/>
      <c r="F8" s="49" t="s">
        <v>49</v>
      </c>
      <c r="G8" s="105">
        <f>C8</f>
        <v>41091</v>
      </c>
      <c r="H8" s="105">
        <v>41456</v>
      </c>
      <c r="I8" s="105">
        <v>41821</v>
      </c>
      <c r="J8" s="105">
        <v>42186</v>
      </c>
      <c r="K8" s="105">
        <v>42552</v>
      </c>
      <c r="L8" s="106">
        <v>42917</v>
      </c>
    </row>
    <row r="9" spans="2:12" ht="12">
      <c r="B9" s="4" t="s">
        <v>12</v>
      </c>
      <c r="C9" s="95">
        <v>42917</v>
      </c>
      <c r="D9" s="2"/>
      <c r="E9" s="2"/>
      <c r="F9" s="10" t="s">
        <v>58</v>
      </c>
      <c r="G9" s="99"/>
      <c r="H9" s="99">
        <f>H8-G8</f>
        <v>365</v>
      </c>
      <c r="I9" s="99">
        <f>I8-H8</f>
        <v>365</v>
      </c>
      <c r="J9" s="99">
        <f>J8-I8</f>
        <v>365</v>
      </c>
      <c r="K9" s="99">
        <f>K8-J8</f>
        <v>366</v>
      </c>
      <c r="L9" s="5">
        <f>L8-K8</f>
        <v>365</v>
      </c>
    </row>
    <row r="10" spans="2:12" ht="12">
      <c r="B10" s="4" t="s">
        <v>30</v>
      </c>
      <c r="C10" s="95">
        <f>C8</f>
        <v>41091</v>
      </c>
      <c r="D10" s="2"/>
      <c r="E10" s="2"/>
      <c r="F10" s="107" t="s">
        <v>61</v>
      </c>
      <c r="G10" s="99"/>
      <c r="H10" s="99">
        <v>1</v>
      </c>
      <c r="I10" s="99">
        <v>2</v>
      </c>
      <c r="J10" s="99">
        <v>3</v>
      </c>
      <c r="K10" s="99">
        <v>4</v>
      </c>
      <c r="L10" s="5">
        <v>5</v>
      </c>
    </row>
    <row r="11" spans="2:12" ht="12">
      <c r="B11" s="4" t="s">
        <v>72</v>
      </c>
      <c r="C11" s="67">
        <v>102</v>
      </c>
      <c r="D11" s="2"/>
      <c r="E11" s="2"/>
      <c r="F11" s="10"/>
      <c r="G11" s="44"/>
      <c r="H11" s="44"/>
      <c r="I11" s="108"/>
      <c r="J11" s="108"/>
      <c r="K11" s="108"/>
      <c r="L11" s="109"/>
    </row>
    <row r="12" spans="2:12" ht="12.75" thickBot="1">
      <c r="B12" s="4" t="s">
        <v>25</v>
      </c>
      <c r="C12" s="63">
        <v>5</v>
      </c>
      <c r="D12" s="2"/>
      <c r="E12" s="2"/>
      <c r="F12" s="111" t="s">
        <v>54</v>
      </c>
      <c r="G12" s="100"/>
      <c r="H12" s="110">
        <f>C13*C17</f>
        <v>4.6</v>
      </c>
      <c r="I12" s="110">
        <f>H12</f>
        <v>4.6</v>
      </c>
      <c r="J12" s="110">
        <f>I12</f>
        <v>4.6</v>
      </c>
      <c r="K12" s="110">
        <f>J12</f>
        <v>4.6</v>
      </c>
      <c r="L12" s="110">
        <f>K12+C17</f>
        <v>104.6</v>
      </c>
    </row>
    <row r="13" spans="2:5" ht="12.75" thickBot="1">
      <c r="B13" s="78" t="s">
        <v>59</v>
      </c>
      <c r="C13" s="93">
        <f>C19+C15</f>
        <v>0.046</v>
      </c>
      <c r="D13" s="82" t="str">
        <f>getformula(C13)</f>
        <v>&lt;--  =C19+C15</v>
      </c>
      <c r="E13" s="2"/>
    </row>
    <row r="14" spans="2:14" ht="12.75" thickBot="1">
      <c r="B14" s="4" t="s">
        <v>60</v>
      </c>
      <c r="C14" s="96" t="s">
        <v>75</v>
      </c>
      <c r="D14" s="2"/>
      <c r="E14" s="2"/>
      <c r="F14" s="104" t="s">
        <v>55</v>
      </c>
      <c r="G14" s="103">
        <f>+H15+I16+J17+K18+L19</f>
        <v>102.00006762010044</v>
      </c>
      <c r="H14" s="90" t="str">
        <f>getformula(G14)</f>
        <v>&lt;--  =+H15+I16+J17+K18+L19</v>
      </c>
      <c r="I14" s="50"/>
      <c r="J14" s="50"/>
      <c r="K14" s="50"/>
      <c r="L14" s="50"/>
      <c r="M14" s="50"/>
      <c r="N14" s="52"/>
    </row>
    <row r="15" spans="2:14" ht="12">
      <c r="B15" s="4" t="s">
        <v>73</v>
      </c>
      <c r="C15" s="68">
        <v>0.006</v>
      </c>
      <c r="E15" s="2"/>
      <c r="F15" s="10"/>
      <c r="G15" s="44"/>
      <c r="H15" s="102">
        <f>H12/(1+$C$20)^H10</f>
        <v>4.416755430329132</v>
      </c>
      <c r="I15" s="45" t="str">
        <f>getformula(H15)</f>
        <v>&lt;--  =H12/(1+$C$20)^H10</v>
      </c>
      <c r="J15" s="44"/>
      <c r="K15" s="44"/>
      <c r="L15" s="44"/>
      <c r="M15" s="44"/>
      <c r="N15" s="46"/>
    </row>
    <row r="16" spans="2:14" ht="12">
      <c r="B16" s="4" t="s">
        <v>27</v>
      </c>
      <c r="C16" s="63">
        <v>1</v>
      </c>
      <c r="D16" s="2"/>
      <c r="E16" s="2"/>
      <c r="F16" s="4"/>
      <c r="G16" s="44"/>
      <c r="H16" s="44"/>
      <c r="I16" s="102">
        <f>I12/(1+$C$20)^I10</f>
        <v>4.240810550291712</v>
      </c>
      <c r="J16" s="45" t="str">
        <f>getformula(I16)</f>
        <v>&lt;--  =I12/(1+$C$20)^I10</v>
      </c>
      <c r="K16" s="44"/>
      <c r="L16" s="44"/>
      <c r="M16" s="44"/>
      <c r="N16" s="46"/>
    </row>
    <row r="17" spans="2:14" ht="12">
      <c r="B17" s="4" t="s">
        <v>28</v>
      </c>
      <c r="C17" s="72">
        <v>100</v>
      </c>
      <c r="D17" s="2"/>
      <c r="E17" s="2"/>
      <c r="F17" s="4"/>
      <c r="G17" s="44"/>
      <c r="H17" s="44"/>
      <c r="I17" s="44"/>
      <c r="J17" s="102">
        <f>J12/(1+$C$20)^J10</f>
        <v>4.0718745710865205</v>
      </c>
      <c r="K17" s="45" t="str">
        <f>getformula(J17)</f>
        <v>&lt;--  =J12/(1+$C$20)^J10</v>
      </c>
      <c r="L17" s="45"/>
      <c r="M17" s="44"/>
      <c r="N17" s="46"/>
    </row>
    <row r="18" spans="2:14" ht="12">
      <c r="B18" s="4" t="s">
        <v>29</v>
      </c>
      <c r="C18" s="63" t="s">
        <v>57</v>
      </c>
      <c r="D18" s="2"/>
      <c r="E18" s="2"/>
      <c r="F18" s="4"/>
      <c r="G18" s="44"/>
      <c r="H18" s="44"/>
      <c r="I18" s="44"/>
      <c r="J18" s="44"/>
      <c r="K18" s="102">
        <f>K12/(1+$C$20)^K10</f>
        <v>3.9096682877098905</v>
      </c>
      <c r="L18" s="45" t="str">
        <f>getformula(K18)</f>
        <v>&lt;--  =K12/(1+$C$20)^K10</v>
      </c>
      <c r="M18" s="44"/>
      <c r="N18" s="46"/>
    </row>
    <row r="19" spans="2:14" ht="12.75" thickBot="1">
      <c r="B19" s="4" t="s">
        <v>63</v>
      </c>
      <c r="C19" s="68">
        <v>0.04</v>
      </c>
      <c r="F19" s="4"/>
      <c r="G19" s="44"/>
      <c r="H19" s="44"/>
      <c r="I19" s="44"/>
      <c r="J19" s="44"/>
      <c r="K19" s="44"/>
      <c r="L19" s="102">
        <f>L12/(1+$C$20)^L10</f>
        <v>85.36095878068318</v>
      </c>
      <c r="M19" s="45" t="str">
        <f>getformula(L19)</f>
        <v>&lt;--  =L12/(1+$C$20)^L10</v>
      </c>
      <c r="N19" s="46"/>
    </row>
    <row r="20" spans="2:14" ht="12.75" thickBot="1">
      <c r="B20" s="78" t="s">
        <v>76</v>
      </c>
      <c r="C20" s="93">
        <v>0.041488502716849056</v>
      </c>
      <c r="D20" s="82" t="str">
        <f>getformula(C20)</f>
        <v>&lt;--  0.0414885027168491</v>
      </c>
      <c r="E20" s="82"/>
      <c r="F20" s="4"/>
      <c r="G20" s="44"/>
      <c r="H20" s="44"/>
      <c r="I20" s="44"/>
      <c r="J20" s="44"/>
      <c r="K20" s="44"/>
      <c r="L20" s="44"/>
      <c r="M20" s="44"/>
      <c r="N20" s="46"/>
    </row>
    <row r="21" spans="2:14" ht="12.75" thickBot="1">
      <c r="B21" s="12" t="s">
        <v>62</v>
      </c>
      <c r="C21" s="97">
        <f>C20-C19</f>
        <v>0.001488502716849055</v>
      </c>
      <c r="D21" s="82" t="str">
        <f>getformula(C21)</f>
        <v>&lt;--  =C20-C19</v>
      </c>
      <c r="F21" s="69"/>
      <c r="G21" s="56"/>
      <c r="H21" s="56"/>
      <c r="I21" s="56"/>
      <c r="J21" s="56"/>
      <c r="K21" s="56"/>
      <c r="L21" s="56"/>
      <c r="M21" s="56"/>
      <c r="N21" s="59"/>
    </row>
    <row r="22" ht="12">
      <c r="C22" s="98"/>
    </row>
    <row r="25" ht="12.75" thickBot="1"/>
    <row r="26" spans="2:12" ht="12.75" thickBot="1">
      <c r="B26" s="2" t="s">
        <v>68</v>
      </c>
      <c r="C26" s="42"/>
      <c r="F26" s="29" t="s">
        <v>48</v>
      </c>
      <c r="G26" s="31" t="s">
        <v>46</v>
      </c>
      <c r="H26" s="31" t="s">
        <v>34</v>
      </c>
      <c r="I26" s="31" t="s">
        <v>35</v>
      </c>
      <c r="J26" s="31" t="s">
        <v>36</v>
      </c>
      <c r="K26" s="31" t="s">
        <v>37</v>
      </c>
      <c r="L26" s="33" t="s">
        <v>38</v>
      </c>
    </row>
    <row r="27" spans="2:12" ht="12">
      <c r="B27" s="3" t="s">
        <v>2</v>
      </c>
      <c r="C27" s="94">
        <v>41091</v>
      </c>
      <c r="D27" s="2"/>
      <c r="F27" s="49" t="s">
        <v>49</v>
      </c>
      <c r="G27" s="105">
        <f>C8</f>
        <v>41091</v>
      </c>
      <c r="H27" s="105">
        <v>41456</v>
      </c>
      <c r="I27" s="105">
        <v>41821</v>
      </c>
      <c r="J27" s="105">
        <v>42186</v>
      </c>
      <c r="K27" s="105">
        <v>42552</v>
      </c>
      <c r="L27" s="106">
        <v>42917</v>
      </c>
    </row>
    <row r="28" spans="2:12" ht="12">
      <c r="B28" s="4" t="s">
        <v>12</v>
      </c>
      <c r="C28" s="95">
        <v>42917</v>
      </c>
      <c r="D28" s="2"/>
      <c r="F28" s="10" t="s">
        <v>58</v>
      </c>
      <c r="G28" s="99"/>
      <c r="H28" s="99">
        <f>(H27-G27)</f>
        <v>365</v>
      </c>
      <c r="I28" s="99">
        <f>I27-H27</f>
        <v>365</v>
      </c>
      <c r="J28" s="99">
        <f>J27-I27</f>
        <v>365</v>
      </c>
      <c r="K28" s="99">
        <f>K27-J27</f>
        <v>366</v>
      </c>
      <c r="L28" s="5">
        <f>L27-K27</f>
        <v>365</v>
      </c>
    </row>
    <row r="29" spans="2:12" ht="12">
      <c r="B29" s="4" t="s">
        <v>30</v>
      </c>
      <c r="C29" s="95">
        <f>C27</f>
        <v>41091</v>
      </c>
      <c r="D29" s="2"/>
      <c r="F29" s="107" t="s">
        <v>61</v>
      </c>
      <c r="G29" s="99"/>
      <c r="H29" s="99">
        <v>1</v>
      </c>
      <c r="I29" s="99">
        <v>2</v>
      </c>
      <c r="J29" s="99">
        <v>3</v>
      </c>
      <c r="K29" s="99">
        <v>4</v>
      </c>
      <c r="L29" s="5">
        <v>5</v>
      </c>
    </row>
    <row r="30" spans="2:12" ht="12">
      <c r="B30" s="4" t="s">
        <v>72</v>
      </c>
      <c r="C30" s="67">
        <v>102</v>
      </c>
      <c r="D30" s="2"/>
      <c r="F30" s="112" t="s">
        <v>86</v>
      </c>
      <c r="G30" s="113"/>
      <c r="H30" s="113"/>
      <c r="I30" s="141">
        <v>0.00387</v>
      </c>
      <c r="J30" s="141">
        <v>0.00146</v>
      </c>
      <c r="K30" s="114">
        <v>0.00089</v>
      </c>
      <c r="L30" s="115">
        <v>0.0002</v>
      </c>
    </row>
    <row r="31" spans="2:12" ht="12.75" thickBot="1">
      <c r="B31" s="4" t="s">
        <v>25</v>
      </c>
      <c r="C31" s="63">
        <v>5</v>
      </c>
      <c r="D31" s="2"/>
      <c r="F31" s="111" t="s">
        <v>54</v>
      </c>
      <c r="G31" s="100"/>
      <c r="H31" s="110">
        <f>C32*C36</f>
        <v>4.6</v>
      </c>
      <c r="I31" s="110">
        <f>($C$34+I30)*$C$36</f>
        <v>0.987</v>
      </c>
      <c r="J31" s="110">
        <f>($C$34+J30)*$C$36</f>
        <v>0.746</v>
      </c>
      <c r="K31" s="110">
        <f>($C$34+K30)*$C$36</f>
        <v>0.6890000000000001</v>
      </c>
      <c r="L31" s="110">
        <f>($C$34+L30)*$C$36+C36</f>
        <v>100.62</v>
      </c>
    </row>
    <row r="32" spans="2:4" ht="12.75" thickBot="1">
      <c r="B32" s="78" t="s">
        <v>59</v>
      </c>
      <c r="C32" s="93">
        <f>C38+C34</f>
        <v>0.046</v>
      </c>
      <c r="D32" s="82" t="str">
        <f>getformula(C32)</f>
        <v>&lt;--  =C38+C34</v>
      </c>
    </row>
    <row r="33" spans="2:14" ht="12.75" thickBot="1">
      <c r="B33" s="4" t="s">
        <v>60</v>
      </c>
      <c r="C33" s="96" t="s">
        <v>75</v>
      </c>
      <c r="D33" s="2"/>
      <c r="F33" s="104" t="s">
        <v>55</v>
      </c>
      <c r="G33" s="103">
        <f>H34+I35+J36+K37+L38</f>
        <v>102.00039433617398</v>
      </c>
      <c r="H33" s="90" t="str">
        <f>getformula(G33)</f>
        <v>&lt;--  =H34+I35+J36+K37+L38</v>
      </c>
      <c r="I33" s="50"/>
      <c r="J33" s="50"/>
      <c r="K33" s="50"/>
      <c r="L33" s="50"/>
      <c r="M33" s="50"/>
      <c r="N33" s="52"/>
    </row>
    <row r="34" spans="2:14" ht="12">
      <c r="B34" s="4" t="s">
        <v>73</v>
      </c>
      <c r="C34" s="68">
        <v>0.006</v>
      </c>
      <c r="F34" s="10"/>
      <c r="G34" s="44"/>
      <c r="H34" s="102">
        <f>H31/(1+$C$39)^H29</f>
        <v>4.548451463401666</v>
      </c>
      <c r="I34" s="45" t="str">
        <f>getformula(H34)</f>
        <v>&lt;--  =H31/(1+$C$39)^H29</v>
      </c>
      <c r="J34" s="44"/>
      <c r="K34" s="44"/>
      <c r="L34" s="44"/>
      <c r="M34" s="44"/>
      <c r="N34" s="46"/>
    </row>
    <row r="35" spans="2:14" ht="12">
      <c r="B35" s="4" t="s">
        <v>27</v>
      </c>
      <c r="C35" s="63">
        <v>1</v>
      </c>
      <c r="D35" s="2"/>
      <c r="F35" s="4"/>
      <c r="G35" s="44"/>
      <c r="H35" s="44"/>
      <c r="I35" s="102">
        <f>I31/(1+$C$39)^I29</f>
        <v>0.9650029005494704</v>
      </c>
      <c r="J35" s="45" t="str">
        <f>getformula(I35)</f>
        <v>&lt;--  =I31/(1+$C$39)^I29</v>
      </c>
      <c r="K35" s="44"/>
      <c r="L35" s="44"/>
      <c r="M35" s="44"/>
      <c r="N35" s="46"/>
    </row>
    <row r="36" spans="2:14" ht="12">
      <c r="B36" s="4" t="s">
        <v>28</v>
      </c>
      <c r="C36" s="72">
        <v>100</v>
      </c>
      <c r="D36" s="2"/>
      <c r="F36" s="4"/>
      <c r="G36" s="44"/>
      <c r="H36" s="44"/>
      <c r="I36" s="44"/>
      <c r="J36" s="102">
        <f>J31/(1+$C$39)^J29</f>
        <v>0.7212005123061879</v>
      </c>
      <c r="K36" s="45" t="str">
        <f>getformula(J36)</f>
        <v>&lt;--  =J31/(1+$C$39)^J29</v>
      </c>
      <c r="L36" s="45"/>
      <c r="M36" s="44"/>
      <c r="N36" s="46"/>
    </row>
    <row r="37" spans="2:14" ht="12">
      <c r="B37" s="4" t="s">
        <v>29</v>
      </c>
      <c r="C37" s="63" t="s">
        <v>57</v>
      </c>
      <c r="D37" s="2"/>
      <c r="F37" s="4"/>
      <c r="G37" s="44"/>
      <c r="H37" s="44"/>
      <c r="I37" s="44"/>
      <c r="J37" s="44"/>
      <c r="K37" s="102">
        <f>K31/(1+$C$39)^K29</f>
        <v>0.6586309788850455</v>
      </c>
      <c r="L37" s="45" t="str">
        <f>getformula(K37)</f>
        <v>&lt;--  =K31/(1+$C$39)^K29</v>
      </c>
      <c r="M37" s="44"/>
      <c r="N37" s="46"/>
    </row>
    <row r="38" spans="2:14" ht="12.75" thickBot="1">
      <c r="B38" s="4" t="s">
        <v>63</v>
      </c>
      <c r="C38" s="68">
        <v>0.04</v>
      </c>
      <c r="F38" s="4"/>
      <c r="G38" s="44"/>
      <c r="H38" s="44"/>
      <c r="I38" s="44"/>
      <c r="J38" s="44"/>
      <c r="K38" s="44"/>
      <c r="L38" s="102">
        <f>L31/(1+$C$39)^L29</f>
        <v>95.10710848103162</v>
      </c>
      <c r="M38" s="45" t="str">
        <f>getformula(L38)</f>
        <v>&lt;--  =L31/(1+$C$39)^L29</v>
      </c>
      <c r="N38" s="46"/>
    </row>
    <row r="39" spans="2:14" ht="12.75" thickBot="1">
      <c r="B39" s="78" t="s">
        <v>76</v>
      </c>
      <c r="C39" s="93">
        <v>0.011333205820290546</v>
      </c>
      <c r="D39" s="82" t="str">
        <f>getformula(C39)</f>
        <v>&lt;--  0.0113332058202905</v>
      </c>
      <c r="F39" s="4"/>
      <c r="G39" s="44"/>
      <c r="H39" s="44"/>
      <c r="I39" s="44"/>
      <c r="J39" s="44"/>
      <c r="K39" s="44"/>
      <c r="L39" s="44"/>
      <c r="M39" s="44"/>
      <c r="N39" s="46"/>
    </row>
    <row r="40" spans="2:14" ht="12.75" thickBot="1">
      <c r="B40" s="12" t="s">
        <v>62</v>
      </c>
      <c r="C40" s="97">
        <f>C39-C38</f>
        <v>-0.028666794179709455</v>
      </c>
      <c r="D40" s="82" t="str">
        <f>getformula(C40)</f>
        <v>&lt;--  =C39-C38</v>
      </c>
      <c r="F40" s="69"/>
      <c r="G40" s="56"/>
      <c r="H40" s="56"/>
      <c r="I40" s="56"/>
      <c r="J40" s="56"/>
      <c r="K40" s="56"/>
      <c r="L40" s="56"/>
      <c r="M40" s="56"/>
      <c r="N40" s="59"/>
    </row>
    <row r="41" ht="12">
      <c r="C41" s="98"/>
    </row>
  </sheetData>
  <sheetProtection/>
  <mergeCells count="1">
    <mergeCell ref="B1:D4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6">
    <tabColor theme="9" tint="-0.4999699890613556"/>
  </sheetPr>
  <dimension ref="A1:C4"/>
  <sheetViews>
    <sheetView showGridLines="0" zoomScale="150" zoomScaleNormal="150" zoomScalePageLayoutView="0" workbookViewId="0" topLeftCell="A1">
      <selection activeCell="D12" sqref="D12"/>
    </sheetView>
  </sheetViews>
  <sheetFormatPr defaultColWidth="10.625" defaultRowHeight="15.75"/>
  <cols>
    <col min="1" max="1" width="43.00390625" style="1" customWidth="1"/>
    <col min="2" max="2" width="12.125" style="1" customWidth="1"/>
    <col min="3" max="3" width="22.00390625" style="1" bestFit="1" customWidth="1"/>
    <col min="4" max="4" width="8.125" style="1" customWidth="1"/>
    <col min="5" max="5" width="21.625" style="1" customWidth="1"/>
    <col min="6" max="11" width="12.125" style="1" bestFit="1" customWidth="1"/>
    <col min="12" max="16384" width="10.625" style="1" customWidth="1"/>
  </cols>
  <sheetData>
    <row r="1" spans="1:3" ht="12">
      <c r="A1" s="147" t="s">
        <v>94</v>
      </c>
      <c r="B1" s="148"/>
      <c r="C1" s="149"/>
    </row>
    <row r="2" spans="1:3" ht="12.75" customHeight="1">
      <c r="A2" s="150"/>
      <c r="B2" s="151"/>
      <c r="C2" s="152"/>
    </row>
    <row r="3" spans="1:3" ht="12">
      <c r="A3" s="150"/>
      <c r="B3" s="151"/>
      <c r="C3" s="152"/>
    </row>
    <row r="4" spans="1:3" ht="12.75" thickBot="1">
      <c r="A4" s="153"/>
      <c r="B4" s="154"/>
      <c r="C4" s="155"/>
    </row>
  </sheetData>
  <sheetProtection/>
  <mergeCells count="1">
    <mergeCell ref="A1:C4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Daniele Previtali</cp:lastModifiedBy>
  <dcterms:created xsi:type="dcterms:W3CDTF">2016-05-19T10:04:23Z</dcterms:created>
  <dcterms:modified xsi:type="dcterms:W3CDTF">2023-10-23T12:03:01Z</dcterms:modified>
  <cp:category/>
  <cp:version/>
  <cp:contentType/>
  <cp:contentStatus/>
</cp:coreProperties>
</file>