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codeName="Questa_cartella_di_lavoro" checkCompatibility="1" defaultThemeVersion="124226"/>
  <mc:AlternateContent xmlns:mc="http://schemas.openxmlformats.org/markup-compatibility/2006">
    <mc:Choice Requires="x15">
      <x15ac:absPath xmlns:x15ac="http://schemas.microsoft.com/office/spreadsheetml/2010/11/ac" url="https://studentiuniparthenope-my.sharepoint.com/personal/zelda_marino_uniparthenope_it/Documents/DIDATTICA/FINANZIARIA/EA/ESERCIZI/I_PARTE/"/>
    </mc:Choice>
  </mc:AlternateContent>
  <xr:revisionPtr revIDLastSave="82" documentId="13_ncr:1_{F0595D5C-237D-4EB8-BC1B-F0C89CEB2D4C}" xr6:coauthVersionLast="47" xr6:coauthVersionMax="47" xr10:uidLastSave="{0DC1E144-9A42-4930-9153-E5857589BB08}"/>
  <bookViews>
    <workbookView xWindow="-108" yWindow="-108" windowWidth="26136" windowHeight="16896" firstSheet="9" activeTab="27" xr2:uid="{00000000-000D-0000-FFFF-FFFF00000000}"/>
  </bookViews>
  <sheets>
    <sheet name="1" sheetId="38" r:id="rId1"/>
    <sheet name="2" sheetId="60" r:id="rId2"/>
    <sheet name="3" sheetId="50" r:id="rId3"/>
    <sheet name="4" sheetId="9" r:id="rId4"/>
    <sheet name="5" sheetId="61" r:id="rId5"/>
    <sheet name="6" sheetId="62" r:id="rId6"/>
    <sheet name="7" sheetId="63" r:id="rId7"/>
    <sheet name="8" sheetId="64" r:id="rId8"/>
    <sheet name="9" sheetId="65" r:id="rId9"/>
    <sheet name="10" sheetId="66" r:id="rId10"/>
    <sheet name="11" sheetId="8" r:id="rId11"/>
    <sheet name="12" sheetId="22" r:id="rId12"/>
    <sheet name="13" sheetId="18" r:id="rId13"/>
    <sheet name="14" sheetId="19" r:id="rId14"/>
    <sheet name="15" sheetId="20" r:id="rId15"/>
    <sheet name="16" sheetId="5" r:id="rId16"/>
    <sheet name="17" sheetId="6" r:id="rId17"/>
    <sheet name="18" sheetId="7" r:id="rId18"/>
    <sheet name="19" sheetId="10" r:id="rId19"/>
    <sheet name="20" sheetId="52" r:id="rId20"/>
    <sheet name="21" sheetId="32" r:id="rId21"/>
    <sheet name="22" sheetId="49" r:id="rId22"/>
    <sheet name="23" sheetId="51" r:id="rId23"/>
    <sheet name="24" sheetId="71" r:id="rId24"/>
    <sheet name="25" sheetId="40" r:id="rId25"/>
    <sheet name="26" sheetId="58" r:id="rId26"/>
    <sheet name="27" sheetId="59" r:id="rId27"/>
    <sheet name="28" sheetId="72" r:id="rId28"/>
    <sheet name="29" sheetId="73" r:id="rId29"/>
    <sheet name="30" sheetId="74" r:id="rId30"/>
  </sheets>
  <definedNames>
    <definedName name="_xlnm.Print_Area" localSheetId="4">'5'!$A$1:$AB$56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1" i="72" l="1"/>
  <c r="G22" i="72"/>
  <c r="G23" i="72"/>
  <c r="G20" i="72"/>
  <c r="C26" i="72"/>
  <c r="C24" i="72"/>
  <c r="D21" i="72"/>
  <c r="D22" i="72"/>
  <c r="D23" i="72"/>
  <c r="E23" i="72" s="1"/>
  <c r="D20" i="72"/>
  <c r="E20" i="72" s="1"/>
  <c r="E21" i="72"/>
  <c r="E22" i="72"/>
  <c r="C21" i="72"/>
  <c r="C22" i="72" s="1"/>
  <c r="C23" i="72" s="1"/>
  <c r="C17" i="71"/>
  <c r="C18" i="71"/>
  <c r="C19" i="71"/>
  <c r="C20" i="71" s="1"/>
  <c r="C22" i="71" s="1"/>
  <c r="D31" i="66"/>
  <c r="D21" i="64"/>
  <c r="D29" i="8"/>
  <c r="C21" i="71" l="1"/>
  <c r="C23" i="71" s="1"/>
  <c r="D26" i="66"/>
  <c r="D27" i="66" s="1"/>
  <c r="D21" i="65"/>
  <c r="D20" i="65"/>
  <c r="D24" i="64"/>
  <c r="D18" i="64"/>
  <c r="D23" i="64" s="1"/>
  <c r="D21" i="63"/>
  <c r="D23" i="63" s="1"/>
  <c r="L47" i="62"/>
  <c r="M47" i="62" s="1"/>
  <c r="L46" i="62"/>
  <c r="M46" i="62" s="1"/>
  <c r="L45" i="62"/>
  <c r="M45" i="62" s="1"/>
  <c r="L44" i="62"/>
  <c r="M44" i="62" s="1"/>
  <c r="L43" i="62"/>
  <c r="M43" i="62" s="1"/>
  <c r="L42" i="62"/>
  <c r="M42" i="62" s="1"/>
  <c r="L41" i="62"/>
  <c r="M41" i="62" s="1"/>
  <c r="H41" i="62"/>
  <c r="I41" i="62" s="1"/>
  <c r="L40" i="62"/>
  <c r="M40" i="62" s="1"/>
  <c r="H40" i="62"/>
  <c r="I40" i="62" s="1"/>
  <c r="L39" i="62"/>
  <c r="M39" i="62" s="1"/>
  <c r="H39" i="62"/>
  <c r="I39" i="62" s="1"/>
  <c r="L38" i="62"/>
  <c r="M38" i="62" s="1"/>
  <c r="H38" i="62"/>
  <c r="I38" i="62" s="1"/>
  <c r="L37" i="62"/>
  <c r="M37" i="62" s="1"/>
  <c r="H37" i="62"/>
  <c r="I37" i="62" s="1"/>
  <c r="L36" i="62"/>
  <c r="M36" i="62" s="1"/>
  <c r="H36" i="62"/>
  <c r="I36" i="62" s="1"/>
  <c r="L35" i="62"/>
  <c r="M35" i="62" s="1"/>
  <c r="H35" i="62"/>
  <c r="I35" i="62" s="1"/>
  <c r="L34" i="62"/>
  <c r="M34" i="62" s="1"/>
  <c r="H34" i="62"/>
  <c r="I34" i="62" s="1"/>
  <c r="L33" i="62"/>
  <c r="M33" i="62" s="1"/>
  <c r="H33" i="62"/>
  <c r="I33" i="62" s="1"/>
  <c r="D33" i="62"/>
  <c r="E33" i="62" s="1"/>
  <c r="L32" i="62"/>
  <c r="M32" i="62" s="1"/>
  <c r="H32" i="62"/>
  <c r="I32" i="62" s="1"/>
  <c r="D32" i="62"/>
  <c r="E32" i="62" s="1"/>
  <c r="L31" i="62"/>
  <c r="M31" i="62" s="1"/>
  <c r="H31" i="62"/>
  <c r="I31" i="62" s="1"/>
  <c r="D31" i="62"/>
  <c r="E31" i="62" s="1"/>
  <c r="L30" i="62"/>
  <c r="M30" i="62" s="1"/>
  <c r="H30" i="62"/>
  <c r="I30" i="62" s="1"/>
  <c r="D30" i="62"/>
  <c r="E30" i="62" s="1"/>
  <c r="L29" i="62"/>
  <c r="M29" i="62" s="1"/>
  <c r="H29" i="62"/>
  <c r="I29" i="62" s="1"/>
  <c r="D29" i="62"/>
  <c r="E29" i="62" s="1"/>
  <c r="L28" i="62"/>
  <c r="M28" i="62" s="1"/>
  <c r="H28" i="62"/>
  <c r="I28" i="62" s="1"/>
  <c r="D28" i="62"/>
  <c r="E28" i="62" s="1"/>
  <c r="D23" i="61"/>
  <c r="D22" i="61"/>
  <c r="D19" i="61"/>
  <c r="D16" i="61"/>
  <c r="D24" i="61" s="1"/>
  <c r="D22" i="63" l="1"/>
  <c r="D20" i="64"/>
  <c r="D26" i="61"/>
  <c r="D27" i="61" s="1"/>
  <c r="L27" i="62"/>
  <c r="D28" i="61"/>
  <c r="D27" i="62"/>
  <c r="H27" i="62"/>
  <c r="F29" i="58" l="1"/>
  <c r="F25" i="58"/>
  <c r="F22" i="58"/>
  <c r="F19" i="58"/>
  <c r="C29" i="60" l="1"/>
  <c r="C28" i="60"/>
  <c r="C26" i="60"/>
  <c r="C27" i="60" s="1"/>
  <c r="C39" i="60" s="1"/>
  <c r="C24" i="60"/>
  <c r="B24" i="60"/>
  <c r="C23" i="60"/>
  <c r="B23" i="60"/>
  <c r="C21" i="60"/>
  <c r="C33" i="60" s="1"/>
  <c r="G20" i="59"/>
  <c r="C31" i="59"/>
  <c r="D31" i="59" s="1"/>
  <c r="E31" i="59" s="1"/>
  <c r="D20" i="59"/>
  <c r="E20" i="59" s="1"/>
  <c r="C20" i="59"/>
  <c r="C21" i="59" s="1"/>
  <c r="C29" i="58"/>
  <c r="C25" i="58"/>
  <c r="C22" i="58"/>
  <c r="C19" i="58"/>
  <c r="D21" i="59" l="1"/>
  <c r="E21" i="59" s="1"/>
  <c r="F21" i="59"/>
  <c r="G21" i="59"/>
  <c r="C32" i="59"/>
  <c r="F31" i="59"/>
  <c r="G31" i="59"/>
  <c r="F32" i="59"/>
  <c r="C40" i="60"/>
  <c r="F20" i="59"/>
  <c r="C32" i="60"/>
  <c r="C35" i="60"/>
  <c r="C37" i="60"/>
  <c r="C36" i="60"/>
  <c r="C31" i="60"/>
  <c r="C22" i="59"/>
  <c r="C37" i="52"/>
  <c r="C33" i="52"/>
  <c r="C30" i="52"/>
  <c r="C31" i="52" s="1"/>
  <c r="D11" i="22"/>
  <c r="D18" i="22" s="1"/>
  <c r="C33" i="59" l="1"/>
  <c r="G32" i="59"/>
  <c r="F33" i="59"/>
  <c r="F23" i="59"/>
  <c r="G22" i="59"/>
  <c r="F22" i="59"/>
  <c r="D32" i="59"/>
  <c r="E32" i="59" s="1"/>
  <c r="C23" i="59"/>
  <c r="D22" i="59"/>
  <c r="E22" i="59" s="1"/>
  <c r="D23" i="22"/>
  <c r="D22" i="22"/>
  <c r="D17" i="22"/>
  <c r="J67" i="32"/>
  <c r="J68" i="32"/>
  <c r="J69" i="32"/>
  <c r="J70" i="32"/>
  <c r="J71" i="32"/>
  <c r="J72" i="32"/>
  <c r="J73" i="32"/>
  <c r="J74" i="32"/>
  <c r="J75" i="32"/>
  <c r="J76" i="32"/>
  <c r="J66" i="32"/>
  <c r="J59" i="32"/>
  <c r="J55" i="32"/>
  <c r="J56" i="32"/>
  <c r="J57" i="32"/>
  <c r="J58" i="32"/>
  <c r="J54" i="32"/>
  <c r="J50" i="32"/>
  <c r="J51" i="32"/>
  <c r="J52" i="32"/>
  <c r="J53" i="32"/>
  <c r="J49" i="32"/>
  <c r="I76" i="32"/>
  <c r="I75" i="32"/>
  <c r="K75" i="32" s="1"/>
  <c r="I74" i="32"/>
  <c r="I73" i="32"/>
  <c r="I72" i="32"/>
  <c r="I71" i="32"/>
  <c r="I70" i="32"/>
  <c r="I69" i="32"/>
  <c r="I68" i="32"/>
  <c r="I67" i="32"/>
  <c r="K67" i="32" s="1"/>
  <c r="I59" i="32"/>
  <c r="I58" i="32"/>
  <c r="K57" i="32"/>
  <c r="I57" i="32"/>
  <c r="I56" i="32"/>
  <c r="I55" i="32"/>
  <c r="K55" i="32" s="1"/>
  <c r="I54" i="32"/>
  <c r="I53" i="32"/>
  <c r="I52" i="32"/>
  <c r="I51" i="32"/>
  <c r="K51" i="32" s="1"/>
  <c r="I50" i="32"/>
  <c r="D67" i="32"/>
  <c r="D68" i="32"/>
  <c r="D69" i="32"/>
  <c r="D70" i="32"/>
  <c r="D71" i="32"/>
  <c r="D72" i="32"/>
  <c r="D73" i="32"/>
  <c r="D74" i="32"/>
  <c r="D75" i="32"/>
  <c r="D76" i="32"/>
  <c r="D66" i="32"/>
  <c r="C76" i="32"/>
  <c r="D49" i="32"/>
  <c r="D51" i="32"/>
  <c r="D52" i="32"/>
  <c r="D53" i="32"/>
  <c r="D54" i="32"/>
  <c r="D55" i="32"/>
  <c r="D56" i="32"/>
  <c r="D57" i="32"/>
  <c r="D58" i="32"/>
  <c r="D59" i="32"/>
  <c r="D50" i="32"/>
  <c r="G23" i="59" l="1"/>
  <c r="E76" i="32"/>
  <c r="K50" i="32"/>
  <c r="C34" i="59"/>
  <c r="F34" i="59" s="1"/>
  <c r="G33" i="59"/>
  <c r="D33" i="59"/>
  <c r="E33" i="59" s="1"/>
  <c r="C24" i="59"/>
  <c r="D23" i="59"/>
  <c r="E23" i="59" s="1"/>
  <c r="K68" i="32"/>
  <c r="K72" i="32"/>
  <c r="K76" i="32"/>
  <c r="K69" i="32"/>
  <c r="K73" i="32"/>
  <c r="K52" i="32"/>
  <c r="K53" i="32"/>
  <c r="K70" i="32"/>
  <c r="K71" i="32"/>
  <c r="K58" i="32"/>
  <c r="K59" i="32"/>
  <c r="K74" i="32"/>
  <c r="K54" i="32"/>
  <c r="K56" i="32"/>
  <c r="C59" i="32"/>
  <c r="E59" i="32" s="1"/>
  <c r="C75" i="32"/>
  <c r="E75" i="32" s="1"/>
  <c r="C74" i="32"/>
  <c r="E74" i="32" s="1"/>
  <c r="C73" i="32"/>
  <c r="E73" i="32" s="1"/>
  <c r="C72" i="32"/>
  <c r="E72" i="32" s="1"/>
  <c r="C71" i="32"/>
  <c r="E71" i="32" s="1"/>
  <c r="C70" i="32"/>
  <c r="E70" i="32" s="1"/>
  <c r="C69" i="32"/>
  <c r="E69" i="32" s="1"/>
  <c r="C68" i="32"/>
  <c r="E68" i="32" s="1"/>
  <c r="C67" i="32"/>
  <c r="E67" i="32" s="1"/>
  <c r="C58" i="32"/>
  <c r="E58" i="32" s="1"/>
  <c r="C57" i="32"/>
  <c r="E57" i="32" s="1"/>
  <c r="C56" i="32"/>
  <c r="E56" i="32" s="1"/>
  <c r="C55" i="32"/>
  <c r="E55" i="32" s="1"/>
  <c r="C54" i="32"/>
  <c r="E54" i="32" s="1"/>
  <c r="C53" i="32"/>
  <c r="E53" i="32" s="1"/>
  <c r="C52" i="32"/>
  <c r="E52" i="32" s="1"/>
  <c r="C51" i="32"/>
  <c r="E51" i="32" s="1"/>
  <c r="C50" i="32"/>
  <c r="E50" i="32" s="1"/>
  <c r="C11" i="40"/>
  <c r="C26" i="40" s="1"/>
  <c r="C10" i="40"/>
  <c r="C14" i="38"/>
  <c r="C11" i="38"/>
  <c r="C45" i="50"/>
  <c r="C60" i="50" s="1"/>
  <c r="C38" i="50"/>
  <c r="C43" i="50" s="1"/>
  <c r="C44" i="50" s="1"/>
  <c r="C18" i="51"/>
  <c r="C29" i="51" s="1"/>
  <c r="C17" i="51"/>
  <c r="C16" i="51"/>
  <c r="C14" i="49"/>
  <c r="C17" i="49" s="1"/>
  <c r="I43" i="32"/>
  <c r="J35" i="32"/>
  <c r="J36" i="32"/>
  <c r="J37" i="32"/>
  <c r="J38" i="32"/>
  <c r="J39" i="32"/>
  <c r="J40" i="32"/>
  <c r="J41" i="32"/>
  <c r="J42" i="32"/>
  <c r="J43" i="32"/>
  <c r="J34" i="32"/>
  <c r="I42" i="32"/>
  <c r="I41" i="32"/>
  <c r="I40" i="32"/>
  <c r="I39" i="32"/>
  <c r="I38" i="32"/>
  <c r="I37" i="32"/>
  <c r="I36" i="32"/>
  <c r="I35" i="32"/>
  <c r="I34" i="32"/>
  <c r="D35" i="32"/>
  <c r="D36" i="32"/>
  <c r="D37" i="32"/>
  <c r="D38" i="32"/>
  <c r="D39" i="32"/>
  <c r="D40" i="32"/>
  <c r="D41" i="32"/>
  <c r="D42" i="32"/>
  <c r="D43" i="32"/>
  <c r="D34" i="32"/>
  <c r="C43" i="32"/>
  <c r="C35" i="32"/>
  <c r="C36" i="32"/>
  <c r="C37" i="32"/>
  <c r="C38" i="32"/>
  <c r="C39" i="32"/>
  <c r="C40" i="32"/>
  <c r="C41" i="32"/>
  <c r="C42" i="32"/>
  <c r="C34" i="32"/>
  <c r="D27" i="10"/>
  <c r="D26" i="10"/>
  <c r="D23" i="10"/>
  <c r="D22" i="10"/>
  <c r="D19" i="10"/>
  <c r="D32" i="10" s="1"/>
  <c r="C32" i="9"/>
  <c r="C31" i="9"/>
  <c r="C36" i="9" s="1"/>
  <c r="D24" i="8"/>
  <c r="D33" i="8" s="1"/>
  <c r="D23" i="8"/>
  <c r="D32" i="8" s="1"/>
  <c r="D20" i="8"/>
  <c r="D28" i="8" s="1"/>
  <c r="D19" i="8"/>
  <c r="D27" i="8" s="1"/>
  <c r="C45" i="7"/>
  <c r="C46" i="7" s="1"/>
  <c r="C41" i="7"/>
  <c r="C42" i="7" s="1"/>
  <c r="C40" i="7"/>
  <c r="C49" i="7" s="1"/>
  <c r="C37" i="6"/>
  <c r="C38" i="6" s="1"/>
  <c r="C33" i="6"/>
  <c r="C34" i="6" s="1"/>
  <c r="C37" i="5"/>
  <c r="C38" i="5" s="1"/>
  <c r="C33" i="5"/>
  <c r="C34" i="5" s="1"/>
  <c r="C29" i="20"/>
  <c r="C32" i="20" s="1"/>
  <c r="C33" i="20" s="1"/>
  <c r="C34" i="20" s="1"/>
  <c r="C36" i="20" s="1"/>
  <c r="C30" i="19"/>
  <c r="C47" i="19" s="1"/>
  <c r="C48" i="19" s="1"/>
  <c r="C30" i="18"/>
  <c r="C33" i="18" s="1"/>
  <c r="D24" i="59" l="1"/>
  <c r="E24" i="59" s="1"/>
  <c r="G24" i="59"/>
  <c r="D31" i="10"/>
  <c r="C25" i="51"/>
  <c r="C28" i="51" s="1"/>
  <c r="D35" i="10"/>
  <c r="D30" i="10"/>
  <c r="C35" i="59"/>
  <c r="G35" i="59" s="1"/>
  <c r="G34" i="59"/>
  <c r="F35" i="59"/>
  <c r="D36" i="10"/>
  <c r="C54" i="50"/>
  <c r="C55" i="50" s="1"/>
  <c r="E41" i="32"/>
  <c r="C20" i="40"/>
  <c r="F24" i="59"/>
  <c r="D34" i="59"/>
  <c r="E34" i="59" s="1"/>
  <c r="D35" i="59"/>
  <c r="E35" i="59" s="1"/>
  <c r="K43" i="32"/>
  <c r="C18" i="38"/>
  <c r="C19" i="38" s="1"/>
  <c r="C40" i="6"/>
  <c r="C42" i="6"/>
  <c r="C37" i="9"/>
  <c r="C38" i="9" s="1"/>
  <c r="C47" i="9" s="1"/>
  <c r="C48" i="9" s="1"/>
  <c r="K38" i="32"/>
  <c r="K42" i="32"/>
  <c r="K36" i="32"/>
  <c r="E34" i="32"/>
  <c r="E42" i="32"/>
  <c r="E38" i="32"/>
  <c r="E37" i="32"/>
  <c r="K35" i="32"/>
  <c r="K33" i="32" s="1"/>
  <c r="K39" i="32"/>
  <c r="K41" i="32"/>
  <c r="E40" i="32"/>
  <c r="E36" i="32"/>
  <c r="K40" i="32"/>
  <c r="K34" i="32"/>
  <c r="E43" i="32"/>
  <c r="E39" i="32"/>
  <c r="E35" i="32"/>
  <c r="K37" i="32"/>
  <c r="C41" i="9"/>
  <c r="C34" i="18"/>
  <c r="C35" i="18"/>
  <c r="C37" i="18" s="1"/>
  <c r="C50" i="50"/>
  <c r="C51" i="50" s="1"/>
  <c r="C56" i="50"/>
  <c r="C57" i="50" s="1"/>
  <c r="C61" i="50"/>
  <c r="C40" i="5"/>
  <c r="C42" i="5"/>
  <c r="C26" i="51"/>
  <c r="C15" i="38"/>
  <c r="C46" i="20"/>
  <c r="C47" i="20" s="1"/>
  <c r="C48" i="50"/>
  <c r="C49" i="50" s="1"/>
  <c r="C35" i="20"/>
  <c r="C39" i="20"/>
  <c r="C36" i="19"/>
  <c r="C33" i="19"/>
  <c r="C34" i="19" s="1"/>
  <c r="C35" i="19" s="1"/>
  <c r="C37" i="19" s="1"/>
  <c r="C40" i="19"/>
  <c r="E33" i="32" l="1"/>
  <c r="I49" i="32"/>
  <c r="K49" i="32" s="1"/>
  <c r="K60" i="32" s="1"/>
  <c r="I66" i="32"/>
  <c r="K66" i="32" s="1"/>
  <c r="K77" i="32" s="1"/>
  <c r="C40" i="18"/>
  <c r="C41" i="18" s="1"/>
  <c r="C36" i="18"/>
  <c r="C47" i="18"/>
  <c r="C48" i="18" s="1"/>
  <c r="C43" i="9"/>
  <c r="C44" i="9" s="1"/>
  <c r="C42" i="9"/>
  <c r="C66" i="32"/>
  <c r="E66" i="32" s="1"/>
  <c r="E77" i="32" s="1"/>
  <c r="C49" i="32"/>
  <c r="E49" i="32" s="1"/>
  <c r="E60" i="32" s="1"/>
  <c r="C40" i="20"/>
  <c r="C41" i="20"/>
  <c r="C42" i="20" s="1"/>
  <c r="C41" i="19"/>
  <c r="C42" i="19"/>
  <c r="C43" i="19" s="1"/>
  <c r="C42" i="18" l="1"/>
  <c r="C43" i="18" s="1"/>
</calcChain>
</file>

<file path=xl/sharedStrings.xml><?xml version="1.0" encoding="utf-8"?>
<sst xmlns="http://schemas.openxmlformats.org/spreadsheetml/2006/main" count="495" uniqueCount="196">
  <si>
    <t>dati input</t>
  </si>
  <si>
    <t>t</t>
  </si>
  <si>
    <t>giorni</t>
  </si>
  <si>
    <t>W(0)</t>
  </si>
  <si>
    <t xml:space="preserve">tasso </t>
  </si>
  <si>
    <t>convenzione anno</t>
  </si>
  <si>
    <t>x1</t>
  </si>
  <si>
    <t>Interesse</t>
  </si>
  <si>
    <t>intensità interesse</t>
  </si>
  <si>
    <t>giorni-1</t>
  </si>
  <si>
    <t>intensità sconto</t>
  </si>
  <si>
    <t>Legge Esponenziale</t>
  </si>
  <si>
    <t>tasso annuo</t>
  </si>
  <si>
    <t>intensità istantanea</t>
  </si>
  <si>
    <t>anni-1</t>
  </si>
  <si>
    <t>tasso semestrale</t>
  </si>
  <si>
    <t>semestri-1</t>
  </si>
  <si>
    <t>tasso sconto</t>
  </si>
  <si>
    <t>Legge lineare</t>
  </si>
  <si>
    <t>W(7)</t>
  </si>
  <si>
    <t>x0</t>
  </si>
  <si>
    <t>W(t)</t>
  </si>
  <si>
    <t>tasso interesse</t>
  </si>
  <si>
    <t>t0</t>
  </si>
  <si>
    <t>t1</t>
  </si>
  <si>
    <t>mesi</t>
  </si>
  <si>
    <t>Legge esponenziale</t>
  </si>
  <si>
    <t>t3</t>
  </si>
  <si>
    <t>x3</t>
  </si>
  <si>
    <t>t2</t>
  </si>
  <si>
    <t>x2</t>
  </si>
  <si>
    <t>o anche</t>
  </si>
  <si>
    <t>convenzione mese</t>
  </si>
  <si>
    <t>legge esponenziale</t>
  </si>
  <si>
    <t>legge lineare</t>
  </si>
  <si>
    <t>tasso mensile</t>
  </si>
  <si>
    <t>W(t0)</t>
  </si>
  <si>
    <t>anni</t>
  </si>
  <si>
    <t>LE</t>
  </si>
  <si>
    <t>intensuità istantanea</t>
  </si>
  <si>
    <t>LL</t>
  </si>
  <si>
    <t>W(t1)</t>
  </si>
  <si>
    <t>a</t>
  </si>
  <si>
    <t>b</t>
  </si>
  <si>
    <t>c</t>
  </si>
  <si>
    <t>d</t>
  </si>
  <si>
    <t>a)</t>
  </si>
  <si>
    <t>b)</t>
  </si>
  <si>
    <t>c)</t>
  </si>
  <si>
    <t>d)</t>
  </si>
  <si>
    <t>e)</t>
  </si>
  <si>
    <t>ritenuta fiscale</t>
  </si>
  <si>
    <t>convenzioni anno</t>
  </si>
  <si>
    <t>Interesse lordo</t>
  </si>
  <si>
    <t>prezzo acquisto netto</t>
  </si>
  <si>
    <t>interesse netto</t>
  </si>
  <si>
    <t>TSC</t>
  </si>
  <si>
    <t>I</t>
  </si>
  <si>
    <t>Legge Lineare</t>
  </si>
  <si>
    <t>m</t>
  </si>
  <si>
    <t>s</t>
  </si>
  <si>
    <t>C</t>
  </si>
  <si>
    <t>i</t>
  </si>
  <si>
    <t>Anni</t>
  </si>
  <si>
    <t>Flussi</t>
  </si>
  <si>
    <t>fattori di sconto</t>
  </si>
  <si>
    <t>Valore attuale</t>
  </si>
  <si>
    <t>i semplice</t>
  </si>
  <si>
    <t>i composto</t>
  </si>
  <si>
    <t>T.I.R.</t>
  </si>
  <si>
    <t>Conviene la banca A poiché a parità di interessi pagati,
l'operazione ha una durata maggiore</t>
  </si>
  <si>
    <t>ts</t>
  </si>
  <si>
    <t>BOT</t>
  </si>
  <si>
    <t>P</t>
  </si>
  <si>
    <t>aliquota</t>
  </si>
  <si>
    <t>tasso interesse lordo</t>
  </si>
  <si>
    <t>intensità lorda</t>
  </si>
  <si>
    <t>tasso interesse netto</t>
  </si>
  <si>
    <t>intensità netta</t>
  </si>
  <si>
    <t>tasso annuo lordo</t>
  </si>
  <si>
    <t>tasso annuo netto</t>
  </si>
  <si>
    <t>prezzo netto</t>
  </si>
  <si>
    <t>interesse lordo</t>
  </si>
  <si>
    <t>M</t>
  </si>
  <si>
    <t>2C</t>
  </si>
  <si>
    <t>i annuo</t>
  </si>
  <si>
    <t>s1</t>
  </si>
  <si>
    <t>s2</t>
  </si>
  <si>
    <t>h(0,0.5)</t>
  </si>
  <si>
    <t xml:space="preserve">da cui </t>
  </si>
  <si>
    <t>fattori montante/sconto in t=2</t>
  </si>
  <si>
    <t>Valore flusso in 2</t>
  </si>
  <si>
    <t>valore in 2</t>
  </si>
  <si>
    <t>fattori montante/sconto in t=5</t>
  </si>
  <si>
    <t>Valore flusso in 5</t>
  </si>
  <si>
    <t>valore in 5</t>
  </si>
  <si>
    <t>annuo</t>
  </si>
  <si>
    <t>RIC</t>
  </si>
  <si>
    <t>xs2</t>
  </si>
  <si>
    <t>xs1</t>
  </si>
  <si>
    <t>CAPITALIZZAZIONE ESPONENZIALE</t>
  </si>
  <si>
    <t>CAPITALIZZAZIONE LINEARE</t>
  </si>
  <si>
    <t>LE netto ritenuta</t>
  </si>
  <si>
    <t>LL netto ritenuta</t>
  </si>
  <si>
    <t>P=C</t>
  </si>
  <si>
    <t>j</t>
  </si>
  <si>
    <t>cedola</t>
  </si>
  <si>
    <t>trimestrale</t>
  </si>
  <si>
    <t>TIR trimestrale</t>
  </si>
  <si>
    <t>TIR annuo</t>
  </si>
  <si>
    <t>i*</t>
  </si>
  <si>
    <t>L'operazione è equa quindi W=0 e M=-V</t>
  </si>
  <si>
    <t>RIS</t>
  </si>
  <si>
    <t>regime</t>
  </si>
  <si>
    <t>composto</t>
  </si>
  <si>
    <t>tasso a 3 anni</t>
  </si>
  <si>
    <t>W finale</t>
  </si>
  <si>
    <t>Sullo scadenzario t={0,1,2,3,4,5} (tempo misurato in anni) determinare il flusso finanziario W(k) k=0,1,…,5 costruito sulla base degli interessi semplici e degli interessi composti, a partire da un capitale di 1000 euro, con tasso di interesse i=5% su base annua. Calcolare inoltre per k=1,...5, i tassi di interesse i_k=(W(k)-W(k-1))/W(k-1), i fattori montanti e i fattori di attualizzazione</t>
  </si>
  <si>
    <t>k</t>
  </si>
  <si>
    <t>W(k)</t>
  </si>
  <si>
    <t>I(k)</t>
  </si>
  <si>
    <t>i(k)</t>
  </si>
  <si>
    <t>v(k)</t>
  </si>
  <si>
    <t>m(k)</t>
  </si>
  <si>
    <t>Il 6/10/2016 il prezzo del BOT con scadenza 8/01/2017 è di 99.254
a) rappresentare l'operazione finanziaria consistente nell'acquisto del BOT;
b) Calcolare interesse, tasso di interesse, fattore di sconto e montante;
c) calcolare il tasso di interesse su base giornaliera mensile (Act/30) e annua (Act/365) rispetto alla legge degli interessi semplici;
d) calcolare in base ai tassi equivalenti il tasso di interesse su base giornaliera mensile (Act/30) e annua (Act/365) rispetto alla legge degli interessi semplici;
e) calcolare in base ai tassi equivalenti il tasso di interesse su base mensile (Act/30) e annua (Act/365) rispetto alla legge degli interessi composti;</t>
  </si>
  <si>
    <t>data valutazione</t>
  </si>
  <si>
    <t>data scadenza</t>
  </si>
  <si>
    <t>prezzo</t>
  </si>
  <si>
    <t>valore nominale</t>
  </si>
  <si>
    <t>durata operazioni</t>
  </si>
  <si>
    <t>v</t>
  </si>
  <si>
    <t>i giornaliero</t>
  </si>
  <si>
    <t>i mensile</t>
  </si>
  <si>
    <t>e</t>
  </si>
  <si>
    <t>RIS
legge di capitalizzazione</t>
  </si>
  <si>
    <t>RIS
tassi equivalenti</t>
  </si>
  <si>
    <t>semplice</t>
  </si>
  <si>
    <t>Un deposito paga il tasso annuo del 4%. Usando la legge degli interessi semplici e quella degli interessi composti.
a) calcolare il tasso di interesse dell'operazione finanziaria che consiste nel deposito di una somma per 3 anni;
b) determinare il tempo necessario affinchè la somma investita aumenti del 15%;
c) determinare il tempo necessario affinchè la somma investita raddoppi;
d) determinare il tasso annuo da applicare affinchè la somma raddoppi in 10 anni.</t>
  </si>
  <si>
    <r>
      <t>Il signor Rossi chiede in prestito a Banca Verde 10 000 euro, da restituirsi dopo un anno e 3 mesi con un interesse di 840 euro. Si calcolino il tasso di interesse periodale j e il tasso di interesse annuo composto dell'operazione.
Banca Blu è disponibile a prestare la stessa somma per lo stesso periodo e applica un tasso di interesse annuo semplice del 7.1%. Calcolare il tasso di interesse periodale jB e il tasso di interesse annuo composto i*</t>
    </r>
    <r>
      <rPr>
        <vertAlign val="subscript"/>
        <sz val="16"/>
        <color theme="1"/>
        <rFont val="Calibri"/>
        <family val="2"/>
        <scheme val="minor"/>
      </rPr>
      <t>B</t>
    </r>
    <r>
      <rPr>
        <sz val="16"/>
        <color theme="1"/>
        <rFont val="Calibri"/>
        <family val="2"/>
        <scheme val="minor"/>
      </rPr>
      <t xml:space="preserve"> dell'operazione proposta da Banca Blu.
Quale banca sceglierà il sig. Rossi, e perché?
</t>
    </r>
  </si>
  <si>
    <t>capitale</t>
  </si>
  <si>
    <t>M semplice</t>
  </si>
  <si>
    <t>jB</t>
  </si>
  <si>
    <t>iB composto</t>
  </si>
  <si>
    <t>Sceglierà la banca Verde perché applica un tasso di interesse annuo composto più basso e si tratta di un'operazione di finanziamento.</t>
  </si>
  <si>
    <t xml:space="preserve">Il Ministero del Tesoro propone in asta di emissione BTP con varie scadenze. Determinare per ogni titolo il prezzo di emissione tale che il tasso di interesse sia il 6.5% per ciascun BTP.
</t>
  </si>
  <si>
    <t>tasso nom (3)</t>
  </si>
  <si>
    <t>tasso nom (7)</t>
  </si>
  <si>
    <t>tasso nom (10)</t>
  </si>
  <si>
    <t>V nominale</t>
  </si>
  <si>
    <t>scadenza</t>
  </si>
  <si>
    <t>flusso</t>
  </si>
  <si>
    <t>valori attuali</t>
  </si>
  <si>
    <r>
      <t>Una banca propone in prestito 15 000 euro a un imprenditore, da restituirsi dopo T anni con un interesse di 5 000 euro. Si determini T, sapendo che il tasso annuo composto del prestito è i = 4%.
Un'altra banca propone in prestito la stessa somma per T</t>
    </r>
    <r>
      <rPr>
        <vertAlign val="subscript"/>
        <sz val="16"/>
        <color theme="1"/>
        <rFont val="Calibri"/>
        <family val="2"/>
        <scheme val="minor"/>
      </rPr>
      <t>0</t>
    </r>
    <r>
      <rPr>
        <sz val="16"/>
        <color theme="1"/>
        <rFont val="Calibri"/>
        <family val="2"/>
        <scheme val="minor"/>
      </rPr>
      <t xml:space="preserve"> anni, al tasso annuo semplice i</t>
    </r>
    <r>
      <rPr>
        <vertAlign val="subscript"/>
        <sz val="16"/>
        <color theme="1"/>
        <rFont val="Calibri"/>
        <family val="2"/>
        <scheme val="minor"/>
      </rPr>
      <t>0</t>
    </r>
    <r>
      <rPr>
        <sz val="16"/>
        <color theme="1"/>
        <rFont val="Calibri"/>
        <family val="2"/>
        <scheme val="minor"/>
      </rPr>
      <t xml:space="preserve"> = 5%. Determinare T</t>
    </r>
    <r>
      <rPr>
        <vertAlign val="subscript"/>
        <sz val="16"/>
        <color theme="1"/>
        <rFont val="Calibri"/>
        <family val="2"/>
        <scheme val="minor"/>
      </rPr>
      <t>0</t>
    </r>
    <r>
      <rPr>
        <sz val="16"/>
        <color theme="1"/>
        <rFont val="Calibri"/>
        <family val="2"/>
        <scheme val="minor"/>
      </rPr>
      <t xml:space="preserve"> in modo che l'importo che l'imprenditore dovrà restituire sarà lo stesso del prestito proposto dalla prima banca.
Si indichi infine a quale delle due banche si rivolgerà l'imprenditore.
</t>
    </r>
  </si>
  <si>
    <t>Montante</t>
  </si>
  <si>
    <t>T</t>
  </si>
  <si>
    <r>
      <t>T</t>
    </r>
    <r>
      <rPr>
        <vertAlign val="subscript"/>
        <sz val="16"/>
        <color theme="1"/>
        <rFont val="Calibri"/>
        <family val="2"/>
        <scheme val="minor"/>
      </rPr>
      <t>0</t>
    </r>
  </si>
  <si>
    <t>Sceglierà la seconda Banca, perché a parità di montante impiegherà meno tempo a rimborsare il prestito.</t>
  </si>
  <si>
    <r>
      <t>Il signor Russo deve scegliere fra due modalità di investimento propostegli da due banche web:
• il Conto Verde, nel quale il capitale investito cresce al tasso i</t>
    </r>
    <r>
      <rPr>
        <vertAlign val="subscript"/>
        <sz val="16"/>
        <color theme="1"/>
        <rFont val="Calibri"/>
        <family val="2"/>
        <scheme val="minor"/>
      </rPr>
      <t>V</t>
    </r>
    <r>
      <rPr>
        <sz val="16"/>
        <color theme="1"/>
        <rFont val="Calibri"/>
        <family val="2"/>
        <scheme val="minor"/>
      </rPr>
      <t xml:space="preserve"> = 3% annuo composto;
• il Conto Giallo, nel quale il capitale investito cresce al tasso i</t>
    </r>
    <r>
      <rPr>
        <vertAlign val="subscript"/>
        <sz val="16"/>
        <color theme="1"/>
        <rFont val="Calibri"/>
        <family val="2"/>
        <scheme val="minor"/>
      </rPr>
      <t>G</t>
    </r>
    <r>
      <rPr>
        <sz val="16"/>
        <color theme="1"/>
        <rFont val="Calibri"/>
        <family val="2"/>
        <scheme val="minor"/>
      </rPr>
      <t xml:space="preserve"> = 4% annuo semplice.
Il signor Russo vuole mantenere il capitale investito fino a che la somma investita non sia aumentata di un quarto.
Si determini anzitutto il tempo T</t>
    </r>
    <r>
      <rPr>
        <vertAlign val="subscript"/>
        <sz val="16"/>
        <color theme="1"/>
        <rFont val="Calibri"/>
        <family val="2"/>
        <scheme val="minor"/>
      </rPr>
      <t>V</t>
    </r>
    <r>
      <rPr>
        <sz val="16"/>
        <color theme="1"/>
        <rFont val="Calibri"/>
        <family val="2"/>
        <scheme val="minor"/>
      </rPr>
      <t xml:space="preserve"> necessario a raggiungere l'obiettivo nel caso di investimento nel Conto Verde e il tasso di interesse periodale j</t>
    </r>
    <r>
      <rPr>
        <vertAlign val="subscript"/>
        <sz val="16"/>
        <color theme="1"/>
        <rFont val="Calibri"/>
        <family val="2"/>
        <scheme val="minor"/>
      </rPr>
      <t>V</t>
    </r>
    <r>
      <rPr>
        <sz val="16"/>
        <color theme="1"/>
        <rFont val="Calibri"/>
        <family val="2"/>
        <scheme val="minor"/>
      </rPr>
      <t xml:space="preserve"> per l'orizzonte [0, T</t>
    </r>
    <r>
      <rPr>
        <vertAlign val="subscript"/>
        <sz val="16"/>
        <color theme="1"/>
        <rFont val="Calibri"/>
        <family val="2"/>
        <scheme val="minor"/>
      </rPr>
      <t>V</t>
    </r>
    <r>
      <rPr>
        <sz val="16"/>
        <color theme="1"/>
        <rFont val="Calibri"/>
        <family val="2"/>
        <scheme val="minor"/>
      </rPr>
      <t xml:space="preserve"> ].
Si calcolino poi le analoghe grandezze T</t>
    </r>
    <r>
      <rPr>
        <vertAlign val="subscript"/>
        <sz val="16"/>
        <color theme="1"/>
        <rFont val="Calibri"/>
        <family val="2"/>
        <scheme val="minor"/>
      </rPr>
      <t>G</t>
    </r>
    <r>
      <rPr>
        <sz val="16"/>
        <color theme="1"/>
        <rFont val="Calibri"/>
        <family val="2"/>
        <scheme val="minor"/>
      </rPr>
      <t xml:space="preserve"> e j</t>
    </r>
    <r>
      <rPr>
        <vertAlign val="subscript"/>
        <sz val="16"/>
        <color theme="1"/>
        <rFont val="Calibri"/>
        <family val="2"/>
        <scheme val="minor"/>
      </rPr>
      <t>G</t>
    </r>
    <r>
      <rPr>
        <sz val="16"/>
        <color theme="1"/>
        <rFont val="Calibri"/>
        <family val="2"/>
        <scheme val="minor"/>
      </rPr>
      <t xml:space="preserve"> (per l'orizzonte [0, T</t>
    </r>
    <r>
      <rPr>
        <vertAlign val="subscript"/>
        <sz val="16"/>
        <color theme="1"/>
        <rFont val="Calibri"/>
        <family val="2"/>
        <scheme val="minor"/>
      </rPr>
      <t>G</t>
    </r>
    <r>
      <rPr>
        <sz val="16"/>
        <color theme="1"/>
        <rFont val="Calibri"/>
        <family val="2"/>
        <scheme val="minor"/>
      </rPr>
      <t xml:space="preserve">]) nel caso del Conto Giallo.
Si determini infine in quale dei due conti investirà il signor Russo.
</t>
    </r>
  </si>
  <si>
    <t>iv composto</t>
  </si>
  <si>
    <t>iG semplice</t>
  </si>
  <si>
    <t>Tv</t>
  </si>
  <si>
    <t>jv</t>
  </si>
  <si>
    <t>TG</t>
  </si>
  <si>
    <t>jG</t>
  </si>
  <si>
    <t>Sceglierà il conto Giallo perché a parità di montante impiegherà meno tempo a raggiungere l'obiettivo.</t>
  </si>
  <si>
    <r>
      <t>Un investitore che ha a disposizione un patrimonio di S = 120 000 euro, è determinato ad accrescerlo fino al valore S</t>
    </r>
    <r>
      <rPr>
        <vertAlign val="subscript"/>
        <sz val="16"/>
        <color theme="1"/>
        <rFont val="Calibri"/>
        <family val="2"/>
        <scheme val="minor"/>
      </rPr>
      <t>0</t>
    </r>
    <r>
      <rPr>
        <sz val="16"/>
        <color theme="1"/>
        <rFont val="Calibri"/>
        <family val="2"/>
        <scheme val="minor"/>
      </rPr>
      <t xml:space="preserve"> = 150000. A tale scopo ha a disposizione due possibilità: la prima è investire in un fondo che promette interessi composti al 3.7% all'anno. Ci calcoli il tempo T</t>
    </r>
    <r>
      <rPr>
        <vertAlign val="subscript"/>
        <sz val="16"/>
        <color theme="1"/>
        <rFont val="Calibri"/>
        <family val="2"/>
        <scheme val="minor"/>
      </rPr>
      <t>C</t>
    </r>
    <r>
      <rPr>
        <sz val="16"/>
        <color theme="1"/>
        <rFont val="Calibri"/>
        <family val="2"/>
        <scheme val="minor"/>
      </rPr>
      <t xml:space="preserve"> necessario per raggiungere il suo scopo.
La seconda è investire in un fondo che promette interessi semplici al 10% durante il primo anno, e successivamente composti, allo stesso tasso del fondo precedente. Si calcoli il tempo T</t>
    </r>
    <r>
      <rPr>
        <vertAlign val="subscript"/>
        <sz val="16"/>
        <color theme="1"/>
        <rFont val="Calibri"/>
        <family val="2"/>
        <scheme val="minor"/>
      </rPr>
      <t>SC</t>
    </r>
    <r>
      <rPr>
        <sz val="16"/>
        <color theme="1"/>
        <rFont val="Calibri"/>
        <family val="2"/>
        <scheme val="minor"/>
      </rPr>
      <t xml:space="preserve"> necessario a raggiungere il suo scopo in questo secondo caso.
</t>
    </r>
  </si>
  <si>
    <t>montante</t>
  </si>
  <si>
    <t>primo anno</t>
  </si>
  <si>
    <t>dal secondo anno</t>
  </si>
  <si>
    <r>
      <t>T</t>
    </r>
    <r>
      <rPr>
        <vertAlign val="subscript"/>
        <sz val="16"/>
        <color theme="1"/>
        <rFont val="Calibri"/>
        <family val="2"/>
        <scheme val="minor"/>
      </rPr>
      <t>c</t>
    </r>
  </si>
  <si>
    <r>
      <t>T</t>
    </r>
    <r>
      <rPr>
        <vertAlign val="subscript"/>
        <sz val="16"/>
        <color theme="1"/>
        <rFont val="Calibri"/>
        <family val="2"/>
        <scheme val="minor"/>
      </rPr>
      <t>SC</t>
    </r>
  </si>
  <si>
    <r>
      <t>Una banca propone ad un imprenditore un finanziamento di S</t>
    </r>
    <r>
      <rPr>
        <vertAlign val="subscript"/>
        <sz val="16"/>
        <color theme="1"/>
        <rFont val="Calibri"/>
        <family val="2"/>
        <scheme val="minor"/>
      </rPr>
      <t>0</t>
    </r>
    <r>
      <rPr>
        <sz val="16"/>
        <color theme="1"/>
        <rFont val="Calibri"/>
        <family val="2"/>
        <scheme val="minor"/>
      </rPr>
      <t xml:space="preserve"> = 100 000 euro, da restituirsi in un'unica soluzione dopo T = 4 anni, con gli interessi calcolati al tasso annuo lineare del 9.5%. L'impresa obietta che il tasso è superiore al massimo previsto dalla normativa vigente, che prevede che il tasso di interesse annuo composto per questo tipo di finanziamenti non possa superare il 9% annuo. Si calcoli il tasso di interesse annuo composto i* del finanziamento proposto e si determini se l'impresa ha ragione, motivando la risposta.
Indipendentemente dall'esito della verifica precedente, le due parti non riescono a mettersi d'accordo sulle condizioni del finanziamento, che vengono allora modificate come segue: stesso importo, stessa durata, ma interessi calcolati in modo composto al tasso massimo previsto dalla normativa. In riferimento a questa nuova proposta, se ne calcoli l'interesse I che l'impresa dovrà corrispondere alla scadenza.
</t>
    </r>
  </si>
  <si>
    <t>Capitale</t>
  </si>
  <si>
    <t>L'impresa ha torto perché il tasso annuo composto applicato è inferiore al 9% annuo</t>
  </si>
  <si>
    <t>r</t>
  </si>
  <si>
    <t>(g)</t>
  </si>
  <si>
    <t>g</t>
  </si>
  <si>
    <t>(f)</t>
  </si>
  <si>
    <t>(e)</t>
  </si>
  <si>
    <t>(d)</t>
  </si>
  <si>
    <t>( c)</t>
  </si>
  <si>
    <t>(b)</t>
  </si>
  <si>
    <t>(a)</t>
  </si>
  <si>
    <t>tempo</t>
  </si>
  <si>
    <t>valore</t>
  </si>
  <si>
    <t xml:space="preserve">Si consideri al tempo t=0 l'operazione finanziaria di durata 105 giorni con valore iniziale xt = 98,20 € e valore finale xs = 102,40 €, essendo s = 105 giorni. Relativamente al periodo (0,105) giorni calcolare:
(a) il fattore di sconto,
(b) il fattore montante, 
(c) l'interesse, 
(d) il tasso di interesse periodale, 
(e) il tasso di sconto, 
(f) l'intensità d'interesse su base giornaliera, 
(g) l'intensità di sconto su base giornaliera.
</t>
  </si>
  <si>
    <t>Tre anni fa si è versato in regime di interesse composto al tasso annuo del 2% una somma di 5000 euro. Oggi si versano altri 5000 euro. Prevedendo di versare tra due anni una somma R e tra quattro anni una somma 2R con l’obiettivo di avere in interesse composto tra sei anni una cifra di 30000 euro, calcolare l’importo delle rate da versare.</t>
  </si>
  <si>
    <t>Un individuo vuole disporre tra due anni di un capitale di 12000 euro. A tal fine, in banca ha già versato 3 anni fa 7000 euro al tasso composto annuo del 10%. Egli pensa di versare oggi 500 euro e il prossimo anno altri 500 euro. Quale tasso dovrà stipulare con la banca per ottenere il capitale tra due anni?</t>
  </si>
  <si>
    <t>xk</t>
  </si>
  <si>
    <t>incremento</t>
  </si>
  <si>
    <t>Una persona versa in banca la somma R. Quindi rispettivamente dopo 1,2 e 3 anni versa somme il cui importo cresce rispetto al precedente del 5%. Determinare quali somme la persona versa annualmente, sapendo che il montante complessivo di cui dispone un anno dopo l’ultimo versamento calcolato a interesse composto annuo dell’11% è di 4477.95 euro.</t>
  </si>
  <si>
    <t>V(4)</t>
  </si>
  <si>
    <t>m in t=4</t>
  </si>
  <si>
    <t>xk*m</t>
  </si>
  <si>
    <t>R</t>
  </si>
  <si>
    <t>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</si>
</sst>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4" formatCode="_-&quot;€&quot;\ * #,##0.00_-;\-&quot;€&quot;\ * #,##0.00_-;_-&quot;€&quot;\ * &quot;-&quot;??_-;_-@_-"/>
    <numFmt numFmtId="43" formatCode="_-* #,##0.00_-;\-* #,##0.00_-;_-* &quot;-&quot;??_-;_-@_-"/>
    <numFmt numFmtId="164" formatCode="&quot;€&quot;\ #,##0.00"/>
    <numFmt numFmtId="165" formatCode="0.00000000000000000000000000000%"/>
    <numFmt numFmtId="166" formatCode="0.000000000000000%"/>
    <numFmt numFmtId="167" formatCode="0.0%"/>
    <numFmt numFmtId="168" formatCode="_-* #,##0_-;\-* #,##0_-;_-* &quot;-&quot;??_-;_-@_-"/>
    <numFmt numFmtId="169" formatCode="0.0000%"/>
    <numFmt numFmtId="170" formatCode="0.000%"/>
    <numFmt numFmtId="171" formatCode="_-* #,##0.000_-;\-* #,##0.000_-;_-* &quot;-&quot;??_-;_-@_-"/>
    <numFmt numFmtId="172" formatCode="_-* #,##0.0000_-;\-* #,##0.0000_-;_-* &quot;-&quot;??_-;_-@_-"/>
    <numFmt numFmtId="173" formatCode="_-&quot;€&quot;\ * #,##0.000_-;\-&quot;€&quot;\ * #,##0.000_-;_-&quot;€&quot;\ * &quot;-&quot;???_-;_-@_-"/>
    <numFmt numFmtId="174" formatCode="0.0000"/>
    <numFmt numFmtId="175" formatCode="0.00000"/>
    <numFmt numFmtId="176" formatCode="0.00000%"/>
    <numFmt numFmtId="177" formatCode="0.000"/>
    <numFmt numFmtId="178" formatCode="_-&quot;€&quot;\ * #,##0.000_-;\-&quot;€&quot;\ * #,##0.000_-;_-&quot;€&quot;\ * &quot;-&quot;??_-;_-@_-"/>
    <numFmt numFmtId="179" formatCode="_-&quot;€&quot;\ * #,##0.0000_-;\-&quot;€&quot;\ * #,##0.0000_-;_-&quot;€&quot;\ * &quot;-&quot;????_-;_-@_-"/>
  </numFmts>
  <fonts count="18" x14ac:knownFonts="1">
    <font>
      <sz val="11"/>
      <color theme="1"/>
      <name val="Calibri"/>
      <family val="2"/>
      <scheme val="minor"/>
    </font>
    <font>
      <sz val="11"/>
      <color indexed="8"/>
      <name val="Calibri"/>
      <family val="2"/>
    </font>
    <font>
      <sz val="11"/>
      <color indexed="8"/>
      <name val="Calibri"/>
      <family val="2"/>
    </font>
    <font>
      <sz val="10"/>
      <name val="Arial"/>
      <family val="2"/>
    </font>
    <font>
      <sz val="14"/>
      <color indexed="8"/>
      <name val="Calibri"/>
      <family val="2"/>
    </font>
    <font>
      <b/>
      <sz val="14"/>
      <color indexed="8"/>
      <name val="Calibri"/>
      <family val="2"/>
    </font>
    <font>
      <sz val="14"/>
      <color indexed="8"/>
      <name val="Calibri"/>
      <family val="2"/>
    </font>
    <font>
      <sz val="11"/>
      <color indexed="8"/>
      <name val="Calibri"/>
      <family val="2"/>
    </font>
    <font>
      <sz val="8"/>
      <name val="Calibri"/>
      <family val="2"/>
    </font>
    <font>
      <sz val="11"/>
      <color theme="1"/>
      <name val="Calibri"/>
      <family val="2"/>
      <scheme val="minor"/>
    </font>
    <font>
      <sz val="10"/>
      <name val="Verdana"/>
      <family val="2"/>
    </font>
    <font>
      <sz val="9"/>
      <color indexed="8"/>
      <name val="Calibri"/>
      <family val="2"/>
    </font>
    <font>
      <sz val="16"/>
      <color theme="1"/>
      <name val="Calibri"/>
      <family val="2"/>
      <scheme val="minor"/>
    </font>
    <font>
      <sz val="16"/>
      <color indexed="8"/>
      <name val="Calibri"/>
      <family val="2"/>
    </font>
    <font>
      <b/>
      <sz val="16"/>
      <color indexed="8"/>
      <name val="Calibri"/>
      <family val="2"/>
    </font>
    <font>
      <sz val="14"/>
      <color theme="1"/>
      <name val="Calibri"/>
      <family val="2"/>
      <scheme val="minor"/>
    </font>
    <font>
      <vertAlign val="subscript"/>
      <sz val="16"/>
      <color theme="1"/>
      <name val="Calibri"/>
      <family val="2"/>
      <scheme val="minor"/>
    </font>
    <font>
      <sz val="12"/>
      <color theme="1"/>
      <name val="Calibri"/>
      <family val="2"/>
      <scheme val="minor"/>
    </font>
  </fonts>
  <fills count="6">
    <fill>
      <patternFill patternType="none"/>
    </fill>
    <fill>
      <patternFill patternType="gray125"/>
    </fill>
    <fill>
      <patternFill patternType="solid">
        <fgColor theme="6" tint="0.59999389629810485"/>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6">
    <xf numFmtId="0" fontId="0" fillId="0" borderId="0"/>
    <xf numFmtId="43" fontId="2" fillId="0" borderId="0" applyFont="0" applyFill="0" applyBorder="0" applyAlignment="0" applyProtection="0"/>
    <xf numFmtId="43" fontId="7" fillId="0" borderId="0" applyFont="0" applyFill="0" applyBorder="0" applyAlignment="0" applyProtection="0"/>
    <xf numFmtId="0" fontId="3" fillId="0" borderId="0"/>
    <xf numFmtId="9" fontId="2" fillId="0" borderId="0" applyFont="0" applyFill="0" applyBorder="0" applyAlignment="0" applyProtection="0"/>
    <xf numFmtId="9" fontId="7" fillId="0" borderId="0" applyFont="0" applyFill="0" applyBorder="0" applyAlignment="0" applyProtection="0"/>
    <xf numFmtId="0" fontId="10"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9" fillId="0" borderId="0"/>
    <xf numFmtId="9" fontId="1"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cellStyleXfs>
  <cellXfs count="153">
    <xf numFmtId="0" fontId="0" fillId="0" borderId="0" xfId="0"/>
    <xf numFmtId="0" fontId="4" fillId="0" borderId="0" xfId="0" applyFont="1"/>
    <xf numFmtId="0" fontId="5" fillId="0" borderId="0" xfId="0" applyFont="1" applyAlignment="1">
      <alignment horizontal="center" vertical="center"/>
    </xf>
    <xf numFmtId="10" fontId="4" fillId="0" borderId="0" xfId="4" applyNumberFormat="1" applyFont="1" applyFill="1"/>
    <xf numFmtId="0" fontId="6" fillId="0" borderId="0" xfId="0" applyFont="1"/>
    <xf numFmtId="165" fontId="4" fillId="0" borderId="0" xfId="4" applyNumberFormat="1" applyFont="1"/>
    <xf numFmtId="164" fontId="4" fillId="0" borderId="0" xfId="0" applyNumberFormat="1" applyFont="1"/>
    <xf numFmtId="166" fontId="4" fillId="0" borderId="0" xfId="4" applyNumberFormat="1" applyFont="1"/>
    <xf numFmtId="167" fontId="4" fillId="0" borderId="0" xfId="4" applyNumberFormat="1" applyFont="1" applyFill="1"/>
    <xf numFmtId="168" fontId="4" fillId="0" borderId="0" xfId="1" applyNumberFormat="1" applyFont="1" applyFill="1"/>
    <xf numFmtId="43" fontId="6" fillId="0" borderId="0" xfId="1" applyFont="1"/>
    <xf numFmtId="0" fontId="11" fillId="0" borderId="0" xfId="8" applyFont="1"/>
    <xf numFmtId="169" fontId="11" fillId="0" borderId="0" xfId="13" applyNumberFormat="1" applyFont="1"/>
    <xf numFmtId="10" fontId="11" fillId="0" borderId="0" xfId="13" applyNumberFormat="1" applyFont="1"/>
    <xf numFmtId="43" fontId="11" fillId="0" borderId="0" xfId="12" applyFont="1"/>
    <xf numFmtId="0" fontId="4" fillId="2" borderId="1" xfId="0" applyFont="1" applyFill="1" applyBorder="1"/>
    <xf numFmtId="0" fontId="6" fillId="2" borderId="1" xfId="0" applyFont="1" applyFill="1" applyBorder="1"/>
    <xf numFmtId="0" fontId="6" fillId="3" borderId="1" xfId="0" applyFont="1" applyFill="1" applyBorder="1"/>
    <xf numFmtId="0" fontId="6" fillId="4" borderId="1" xfId="0" applyFont="1" applyFill="1" applyBorder="1"/>
    <xf numFmtId="0" fontId="4" fillId="3" borderId="1" xfId="0" applyFont="1" applyFill="1" applyBorder="1"/>
    <xf numFmtId="0" fontId="4" fillId="4" borderId="1" xfId="0" applyFont="1" applyFill="1" applyBorder="1"/>
    <xf numFmtId="0" fontId="12" fillId="0" borderId="0" xfId="0" applyFont="1"/>
    <xf numFmtId="0" fontId="13" fillId="2" borderId="1" xfId="0" applyFont="1" applyFill="1" applyBorder="1"/>
    <xf numFmtId="0" fontId="13" fillId="3" borderId="1" xfId="0" applyFont="1" applyFill="1" applyBorder="1"/>
    <xf numFmtId="0" fontId="13" fillId="4" borderId="1" xfId="0" applyFont="1" applyFill="1" applyBorder="1"/>
    <xf numFmtId="0" fontId="12" fillId="4" borderId="1" xfId="0" applyFont="1" applyFill="1" applyBorder="1"/>
    <xf numFmtId="0" fontId="12" fillId="3" borderId="1" xfId="0" applyFont="1" applyFill="1" applyBorder="1"/>
    <xf numFmtId="44" fontId="6" fillId="4" borderId="1" xfId="14" applyFont="1" applyFill="1" applyBorder="1"/>
    <xf numFmtId="10" fontId="6" fillId="4" borderId="1" xfId="0" applyNumberFormat="1" applyFont="1" applyFill="1" applyBorder="1"/>
    <xf numFmtId="0" fontId="13" fillId="0" borderId="0" xfId="8" applyFont="1"/>
    <xf numFmtId="43" fontId="13" fillId="0" borderId="0" xfId="12" applyFont="1"/>
    <xf numFmtId="169" fontId="13" fillId="0" borderId="0" xfId="13" applyNumberFormat="1" applyFont="1"/>
    <xf numFmtId="0" fontId="13" fillId="3" borderId="1" xfId="8" applyFont="1" applyFill="1" applyBorder="1"/>
    <xf numFmtId="0" fontId="14" fillId="2" borderId="1" xfId="8" applyFont="1" applyFill="1" applyBorder="1" applyAlignment="1">
      <alignment horizontal="center"/>
    </xf>
    <xf numFmtId="43" fontId="14" fillId="2" borderId="1" xfId="12" applyFont="1" applyFill="1" applyBorder="1" applyAlignment="1">
      <alignment horizontal="center"/>
    </xf>
    <xf numFmtId="169" fontId="14" fillId="2" borderId="1" xfId="13" applyNumberFormat="1" applyFont="1" applyFill="1" applyBorder="1" applyAlignment="1">
      <alignment horizontal="center"/>
    </xf>
    <xf numFmtId="43" fontId="14" fillId="2" borderId="5" xfId="12" applyFont="1" applyFill="1" applyBorder="1" applyAlignment="1">
      <alignment horizontal="center"/>
    </xf>
    <xf numFmtId="170" fontId="6" fillId="4" borderId="1" xfId="4" applyNumberFormat="1" applyFont="1" applyFill="1" applyBorder="1"/>
    <xf numFmtId="14" fontId="6" fillId="4" borderId="1" xfId="0" applyNumberFormat="1" applyFont="1" applyFill="1" applyBorder="1"/>
    <xf numFmtId="2" fontId="6" fillId="4" borderId="1" xfId="14" applyNumberFormat="1" applyFont="1" applyFill="1" applyBorder="1"/>
    <xf numFmtId="0" fontId="4" fillId="4" borderId="1" xfId="0" applyFont="1" applyFill="1" applyBorder="1" applyAlignment="1">
      <alignment horizontal="right"/>
    </xf>
    <xf numFmtId="0" fontId="0" fillId="0" borderId="1" xfId="0" applyBorder="1"/>
    <xf numFmtId="0" fontId="4" fillId="5" borderId="1" xfId="0" applyFont="1" applyFill="1" applyBorder="1"/>
    <xf numFmtId="44" fontId="15" fillId="0" borderId="1" xfId="14" applyFont="1" applyBorder="1"/>
    <xf numFmtId="169" fontId="15" fillId="0" borderId="1" xfId="4" applyNumberFormat="1" applyFont="1" applyBorder="1"/>
    <xf numFmtId="0" fontId="15" fillId="0" borderId="1" xfId="0" applyFont="1" applyBorder="1"/>
    <xf numFmtId="0" fontId="4" fillId="0" borderId="1" xfId="0" applyFont="1" applyBorder="1"/>
    <xf numFmtId="0" fontId="6" fillId="0" borderId="1" xfId="0" applyFont="1" applyBorder="1"/>
    <xf numFmtId="170" fontId="6" fillId="0" borderId="1" xfId="4" applyNumberFormat="1" applyFont="1" applyBorder="1"/>
    <xf numFmtId="44" fontId="6" fillId="0" borderId="1" xfId="14" applyFont="1" applyBorder="1"/>
    <xf numFmtId="169" fontId="6" fillId="0" borderId="1" xfId="4" applyNumberFormat="1" applyFont="1" applyBorder="1"/>
    <xf numFmtId="175" fontId="6" fillId="0" borderId="1" xfId="0" applyNumberFormat="1" applyFont="1" applyBorder="1"/>
    <xf numFmtId="0" fontId="12" fillId="0" borderId="1" xfId="0" applyFont="1" applyBorder="1"/>
    <xf numFmtId="169" fontId="12" fillId="0" borderId="1" xfId="4" applyNumberFormat="1" applyFont="1" applyFill="1" applyBorder="1"/>
    <xf numFmtId="44" fontId="12" fillId="0" borderId="1" xfId="14" applyFont="1" applyFill="1" applyBorder="1"/>
    <xf numFmtId="0" fontId="12" fillId="5" borderId="1" xfId="0" applyFont="1" applyFill="1" applyBorder="1"/>
    <xf numFmtId="0" fontId="4" fillId="0" borderId="0" xfId="0" applyFont="1" applyAlignment="1">
      <alignment horizontal="right"/>
    </xf>
    <xf numFmtId="0" fontId="6" fillId="0" borderId="0" xfId="0" applyFont="1" applyAlignment="1">
      <alignment horizontal="right"/>
    </xf>
    <xf numFmtId="169" fontId="13" fillId="0" borderId="3" xfId="13" applyNumberFormat="1" applyFont="1" applyFill="1" applyBorder="1"/>
    <xf numFmtId="171" fontId="13" fillId="0" borderId="1" xfId="12" applyNumberFormat="1" applyFont="1" applyFill="1" applyBorder="1"/>
    <xf numFmtId="172" fontId="13" fillId="0" borderId="6" xfId="12" applyNumberFormat="1" applyFont="1" applyFill="1" applyBorder="1"/>
    <xf numFmtId="174" fontId="13" fillId="0" borderId="3" xfId="13" applyNumberFormat="1" applyFont="1" applyFill="1" applyBorder="1"/>
    <xf numFmtId="44" fontId="13" fillId="0" borderId="1" xfId="14" applyFont="1" applyFill="1" applyBorder="1"/>
    <xf numFmtId="174" fontId="13" fillId="0" borderId="1" xfId="12" applyNumberFormat="1" applyFont="1" applyFill="1" applyBorder="1"/>
    <xf numFmtId="43" fontId="13" fillId="5" borderId="1" xfId="12" applyFont="1" applyFill="1" applyBorder="1"/>
    <xf numFmtId="171" fontId="13" fillId="5" borderId="1" xfId="12" applyNumberFormat="1" applyFont="1" applyFill="1" applyBorder="1"/>
    <xf numFmtId="44" fontId="13" fillId="5" borderId="1" xfId="14" applyFont="1" applyFill="1" applyBorder="1"/>
    <xf numFmtId="0" fontId="13" fillId="5" borderId="1" xfId="8" applyFont="1" applyFill="1" applyBorder="1"/>
    <xf numFmtId="9" fontId="6" fillId="4" borderId="1" xfId="0" applyNumberFormat="1" applyFont="1" applyFill="1" applyBorder="1"/>
    <xf numFmtId="169" fontId="0" fillId="0" borderId="0" xfId="0" applyNumberFormat="1"/>
    <xf numFmtId="0" fontId="15" fillId="5" borderId="1" xfId="0" applyFont="1" applyFill="1" applyBorder="1"/>
    <xf numFmtId="173" fontId="12" fillId="0" borderId="1" xfId="0" applyNumberFormat="1" applyFont="1" applyBorder="1"/>
    <xf numFmtId="170" fontId="12" fillId="0" borderId="1" xfId="0" applyNumberFormat="1" applyFont="1" applyBorder="1"/>
    <xf numFmtId="44" fontId="12" fillId="0" borderId="1" xfId="14" applyFont="1" applyBorder="1"/>
    <xf numFmtId="169" fontId="12" fillId="0" borderId="1" xfId="4" applyNumberFormat="1" applyFont="1" applyBorder="1"/>
    <xf numFmtId="170" fontId="12" fillId="0" borderId="1" xfId="4" applyNumberFormat="1" applyFont="1" applyBorder="1"/>
    <xf numFmtId="175" fontId="12" fillId="0" borderId="1" xfId="0" applyNumberFormat="1" applyFont="1" applyBorder="1"/>
    <xf numFmtId="10" fontId="6" fillId="0" borderId="1" xfId="4" applyNumberFormat="1" applyFont="1" applyBorder="1"/>
    <xf numFmtId="176" fontId="15" fillId="0" borderId="1" xfId="4" applyNumberFormat="1" applyFont="1" applyBorder="1"/>
    <xf numFmtId="0" fontId="15" fillId="0" borderId="0" xfId="0" applyFont="1" applyAlignment="1">
      <alignment vertical="top" wrapText="1"/>
    </xf>
    <xf numFmtId="0" fontId="15" fillId="0" borderId="0" xfId="0" applyFont="1"/>
    <xf numFmtId="0" fontId="15" fillId="3" borderId="1" xfId="0" applyFont="1" applyFill="1" applyBorder="1"/>
    <xf numFmtId="0" fontId="15" fillId="0" borderId="1" xfId="0" applyFont="1" applyBorder="1" applyAlignment="1">
      <alignment vertical="top" wrapText="1"/>
    </xf>
    <xf numFmtId="9" fontId="15" fillId="4" borderId="1" xfId="0" applyNumberFormat="1" applyFont="1" applyFill="1" applyBorder="1" applyAlignment="1">
      <alignment vertical="top" wrapText="1"/>
    </xf>
    <xf numFmtId="0" fontId="15" fillId="4" borderId="1" xfId="0" applyFont="1" applyFill="1" applyBorder="1" applyAlignment="1">
      <alignment horizontal="right" vertical="top" wrapText="1"/>
    </xf>
    <xf numFmtId="0" fontId="15" fillId="3" borderId="1" xfId="0" applyFont="1" applyFill="1" applyBorder="1" applyAlignment="1">
      <alignment vertical="top" wrapText="1"/>
    </xf>
    <xf numFmtId="0" fontId="15" fillId="5" borderId="1" xfId="0" applyFont="1" applyFill="1" applyBorder="1" applyAlignment="1">
      <alignment vertical="top" wrapText="1"/>
    </xf>
    <xf numFmtId="169" fontId="15" fillId="0" borderId="1" xfId="4" applyNumberFormat="1" applyFont="1" applyBorder="1" applyAlignment="1">
      <alignment vertical="top" wrapText="1"/>
    </xf>
    <xf numFmtId="174" fontId="15" fillId="0" borderId="1" xfId="0" applyNumberFormat="1" applyFont="1" applyBorder="1"/>
    <xf numFmtId="0" fontId="15" fillId="0" borderId="1" xfId="0" applyFont="1" applyBorder="1" applyAlignment="1">
      <alignment horizontal="center" vertical="center"/>
    </xf>
    <xf numFmtId="9" fontId="15" fillId="0" borderId="0" xfId="0" applyNumberFormat="1" applyFont="1"/>
    <xf numFmtId="177" fontId="15" fillId="0" borderId="1" xfId="0" applyNumberFormat="1" applyFont="1" applyBorder="1"/>
    <xf numFmtId="2" fontId="15" fillId="0" borderId="1" xfId="0" applyNumberFormat="1" applyFont="1" applyBorder="1"/>
    <xf numFmtId="9" fontId="15" fillId="4" borderId="1" xfId="0" applyNumberFormat="1" applyFont="1" applyFill="1" applyBorder="1"/>
    <xf numFmtId="14" fontId="15" fillId="0" borderId="1" xfId="0" applyNumberFormat="1" applyFont="1" applyBorder="1"/>
    <xf numFmtId="14" fontId="15" fillId="4" borderId="1" xfId="0" applyNumberFormat="1" applyFont="1" applyFill="1" applyBorder="1"/>
    <xf numFmtId="178" fontId="15" fillId="4" borderId="1" xfId="14" applyNumberFormat="1" applyFont="1" applyFill="1" applyBorder="1"/>
    <xf numFmtId="178" fontId="15" fillId="0" borderId="1" xfId="0" applyNumberFormat="1" applyFont="1" applyBorder="1"/>
    <xf numFmtId="44" fontId="15" fillId="0" borderId="1" xfId="0" applyNumberFormat="1" applyFont="1" applyBorder="1"/>
    <xf numFmtId="10" fontId="0" fillId="0" borderId="0" xfId="4" applyNumberFormat="1" applyFont="1"/>
    <xf numFmtId="44" fontId="12" fillId="4" borderId="1" xfId="14" applyFont="1" applyFill="1" applyBorder="1"/>
    <xf numFmtId="167" fontId="12" fillId="4" borderId="1" xfId="15" applyNumberFormat="1" applyFont="1" applyFill="1" applyBorder="1"/>
    <xf numFmtId="44" fontId="12" fillId="0" borderId="1" xfId="0" applyNumberFormat="1" applyFont="1" applyBorder="1"/>
    <xf numFmtId="169" fontId="12" fillId="0" borderId="1" xfId="15" applyNumberFormat="1" applyFont="1" applyBorder="1"/>
    <xf numFmtId="10" fontId="12" fillId="4" borderId="1" xfId="0" applyNumberFormat="1" applyFont="1" applyFill="1" applyBorder="1"/>
    <xf numFmtId="10" fontId="12" fillId="0" borderId="0" xfId="0" applyNumberFormat="1" applyFont="1"/>
    <xf numFmtId="9" fontId="12" fillId="4" borderId="1" xfId="0" applyNumberFormat="1" applyFont="1" applyFill="1" applyBorder="1"/>
    <xf numFmtId="9" fontId="12" fillId="0" borderId="0" xfId="0" applyNumberFormat="1" applyFont="1"/>
    <xf numFmtId="44" fontId="12" fillId="0" borderId="0" xfId="14" applyFont="1"/>
    <xf numFmtId="44" fontId="12" fillId="4" borderId="1" xfId="0" applyNumberFormat="1" applyFont="1" applyFill="1" applyBorder="1"/>
    <xf numFmtId="44" fontId="12" fillId="0" borderId="0" xfId="0" applyNumberFormat="1" applyFont="1"/>
    <xf numFmtId="0" fontId="12" fillId="0" borderId="0" xfId="0" applyFont="1" applyAlignment="1">
      <alignment vertical="top" wrapText="1"/>
    </xf>
    <xf numFmtId="0" fontId="12" fillId="3" borderId="1" xfId="0" applyFont="1" applyFill="1" applyBorder="1" applyAlignment="1">
      <alignment vertical="top" wrapText="1"/>
    </xf>
    <xf numFmtId="9" fontId="12" fillId="4" borderId="1" xfId="0" applyNumberFormat="1" applyFont="1" applyFill="1" applyBorder="1" applyAlignment="1">
      <alignment vertical="top" wrapText="1"/>
    </xf>
    <xf numFmtId="44" fontId="12" fillId="4" borderId="1" xfId="14" applyFont="1" applyFill="1" applyBorder="1" applyAlignment="1">
      <alignment vertical="top" wrapText="1"/>
    </xf>
    <xf numFmtId="9" fontId="12" fillId="0" borderId="1" xfId="15" applyFont="1" applyBorder="1"/>
    <xf numFmtId="174" fontId="12" fillId="0" borderId="1" xfId="0" applyNumberFormat="1" applyFont="1" applyBorder="1"/>
    <xf numFmtId="0" fontId="12" fillId="0" borderId="1" xfId="0" applyFont="1" applyBorder="1" applyAlignment="1">
      <alignment vertical="top" wrapText="1"/>
    </xf>
    <xf numFmtId="10" fontId="12" fillId="4" borderId="1" xfId="0" applyNumberFormat="1" applyFont="1" applyFill="1" applyBorder="1" applyAlignment="1">
      <alignment vertical="top" wrapText="1"/>
    </xf>
    <xf numFmtId="179" fontId="12" fillId="0" borderId="0" xfId="0" applyNumberFormat="1" applyFont="1"/>
    <xf numFmtId="169" fontId="12" fillId="0" borderId="0" xfId="15" applyNumberFormat="1" applyFont="1"/>
    <xf numFmtId="169" fontId="0" fillId="0" borderId="0" xfId="15" applyNumberFormat="1" applyFont="1"/>
    <xf numFmtId="44" fontId="0" fillId="0" borderId="0" xfId="0" applyNumberFormat="1"/>
    <xf numFmtId="174" fontId="0" fillId="0" borderId="0" xfId="0" applyNumberFormat="1"/>
    <xf numFmtId="44" fontId="0" fillId="0" borderId="0" xfId="14" applyFont="1"/>
    <xf numFmtId="0" fontId="15" fillId="0" borderId="1" xfId="0" applyFont="1" applyBorder="1" applyAlignment="1">
      <alignment horizontal="center"/>
    </xf>
    <xf numFmtId="0" fontId="15" fillId="5" borderId="1" xfId="0" applyFont="1" applyFill="1" applyBorder="1" applyAlignment="1">
      <alignment horizontal="center"/>
    </xf>
    <xf numFmtId="0" fontId="15" fillId="0" borderId="1" xfId="0" applyFont="1" applyBorder="1" applyAlignment="1">
      <alignment horizontal="center" vertical="center"/>
    </xf>
    <xf numFmtId="0" fontId="15" fillId="0" borderId="1" xfId="0" applyFont="1" applyBorder="1" applyAlignment="1">
      <alignment horizontal="center" wrapText="1"/>
    </xf>
    <xf numFmtId="0" fontId="15" fillId="0" borderId="1" xfId="0" applyFont="1" applyBorder="1" applyAlignment="1">
      <alignment horizontal="center"/>
    </xf>
    <xf numFmtId="0" fontId="15" fillId="0" borderId="1" xfId="0" applyFont="1" applyBorder="1" applyAlignment="1">
      <alignment horizontal="center" vertical="center" wrapText="1"/>
    </xf>
    <xf numFmtId="0" fontId="15" fillId="0" borderId="1" xfId="0" applyFont="1" applyBorder="1" applyAlignment="1">
      <alignment horizontal="left" vertical="top" wrapText="1"/>
    </xf>
    <xf numFmtId="0" fontId="15" fillId="0" borderId="5" xfId="0" applyFont="1" applyBorder="1" applyAlignment="1">
      <alignment horizontal="center" vertical="center"/>
    </xf>
    <xf numFmtId="0" fontId="15" fillId="0" borderId="7" xfId="0" applyFont="1" applyBorder="1" applyAlignment="1">
      <alignment horizontal="center" vertical="center"/>
    </xf>
    <xf numFmtId="0" fontId="15" fillId="0" borderId="6" xfId="0" applyFont="1" applyBorder="1" applyAlignment="1">
      <alignment horizontal="center" vertical="center"/>
    </xf>
    <xf numFmtId="0" fontId="5" fillId="5" borderId="3" xfId="0" applyFont="1" applyFill="1" applyBorder="1" applyAlignment="1">
      <alignment horizontal="left"/>
    </xf>
    <xf numFmtId="0" fontId="5" fillId="5" borderId="2" xfId="0" applyFont="1" applyFill="1" applyBorder="1" applyAlignment="1">
      <alignment horizontal="left"/>
    </xf>
    <xf numFmtId="0" fontId="5" fillId="5" borderId="4" xfId="0" applyFont="1" applyFill="1" applyBorder="1" applyAlignment="1">
      <alignment horizontal="left"/>
    </xf>
    <xf numFmtId="0" fontId="12" fillId="0" borderId="1" xfId="0" applyFont="1" applyBorder="1" applyAlignment="1">
      <alignment horizontal="left" vertical="top" wrapText="1"/>
    </xf>
    <xf numFmtId="0" fontId="17" fillId="0" borderId="1" xfId="0" applyFont="1" applyBorder="1" applyAlignment="1">
      <alignment horizontal="left" vertical="top" wrapText="1"/>
    </xf>
    <xf numFmtId="0" fontId="12" fillId="0" borderId="0" xfId="0" applyFont="1" applyAlignment="1">
      <alignment horizontal="left" vertical="top" wrapText="1"/>
    </xf>
    <xf numFmtId="0" fontId="4" fillId="5" borderId="3" xfId="0" applyFont="1" applyFill="1" applyBorder="1" applyAlignment="1">
      <alignment horizontal="center"/>
    </xf>
    <xf numFmtId="0" fontId="4" fillId="5" borderId="4" xfId="0" applyFont="1" applyFill="1" applyBorder="1" applyAlignment="1">
      <alignment horizontal="center"/>
    </xf>
    <xf numFmtId="0" fontId="15" fillId="5" borderId="1" xfId="0" applyFont="1" applyFill="1" applyBorder="1" applyAlignment="1">
      <alignment horizontal="center"/>
    </xf>
    <xf numFmtId="0" fontId="13" fillId="2" borderId="1" xfId="8" applyFont="1" applyFill="1" applyBorder="1" applyAlignment="1">
      <alignment horizontal="center"/>
    </xf>
    <xf numFmtId="0" fontId="12" fillId="5" borderId="1" xfId="0" applyFont="1" applyFill="1" applyBorder="1" applyAlignment="1">
      <alignment horizontal="left" vertical="top" wrapText="1"/>
    </xf>
    <xf numFmtId="0" fontId="12" fillId="5" borderId="1" xfId="0" applyFont="1" applyFill="1" applyBorder="1" applyAlignment="1">
      <alignment horizontal="left" vertical="top"/>
    </xf>
    <xf numFmtId="0" fontId="0" fillId="0" borderId="1" xfId="0" applyBorder="1" applyAlignment="1">
      <alignment horizontal="left" vertical="top" wrapText="1"/>
    </xf>
    <xf numFmtId="0" fontId="15" fillId="0" borderId="0" xfId="0" applyFont="1" applyAlignment="1">
      <alignment horizontal="left" vertical="top" wrapText="1"/>
    </xf>
    <xf numFmtId="0" fontId="15" fillId="5" borderId="1" xfId="0" applyFont="1" applyFill="1" applyBorder="1" applyAlignment="1">
      <alignment horizontal="center" vertical="center"/>
    </xf>
    <xf numFmtId="0" fontId="15" fillId="0" borderId="0" xfId="0" applyFont="1" applyAlignment="1">
      <alignment horizontal="center"/>
    </xf>
    <xf numFmtId="44" fontId="15" fillId="4" borderId="1" xfId="14" applyFont="1" applyFill="1" applyBorder="1"/>
    <xf numFmtId="0" fontId="15" fillId="3" borderId="1" xfId="0" applyFont="1" applyFill="1" applyBorder="1" applyAlignment="1">
      <alignment horizontal="center"/>
    </xf>
  </cellXfs>
  <cellStyles count="16">
    <cellStyle name="Migliaia" xfId="1" builtinId="3"/>
    <cellStyle name="Migliaia 2" xfId="2" xr:uid="{00000000-0005-0000-0000-000001000000}"/>
    <cellStyle name="Migliaia 3" xfId="7" xr:uid="{00000000-0005-0000-0000-000002000000}"/>
    <cellStyle name="Migliaia 4" xfId="12" xr:uid="{00000000-0005-0000-0000-000003000000}"/>
    <cellStyle name="Normale" xfId="0" builtinId="0"/>
    <cellStyle name="Normale 2" xfId="3" xr:uid="{00000000-0005-0000-0000-000005000000}"/>
    <cellStyle name="Normale 3" xfId="6" xr:uid="{00000000-0005-0000-0000-000006000000}"/>
    <cellStyle name="Normale 3 2" xfId="10" xr:uid="{00000000-0005-0000-0000-000007000000}"/>
    <cellStyle name="Normale_Sett3-4" xfId="8" xr:uid="{00000000-0005-0000-0000-000008000000}"/>
    <cellStyle name="Percentuale" xfId="4" builtinId="5"/>
    <cellStyle name="Percentuale 2" xfId="5" xr:uid="{00000000-0005-0000-0000-00000A000000}"/>
    <cellStyle name="Percentuale 2 2" xfId="11" xr:uid="{00000000-0005-0000-0000-00000B000000}"/>
    <cellStyle name="Percentuale 3" xfId="13" xr:uid="{00000000-0005-0000-0000-00000C000000}"/>
    <cellStyle name="Percentuale 4" xfId="15" xr:uid="{00000000-0005-0000-0000-00000D000000}"/>
    <cellStyle name="Valuta" xfId="14" builtinId="4"/>
    <cellStyle name="Valuta 2" xfId="9" xr:uid="{00000000-0005-0000-0000-00000F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257174</xdr:colOff>
      <xdr:row>1</xdr:row>
      <xdr:rowOff>57149</xdr:rowOff>
    </xdr:from>
    <xdr:to>
      <xdr:col>7</xdr:col>
      <xdr:colOff>647700</xdr:colOff>
      <xdr:row>6</xdr:row>
      <xdr:rowOff>161925</xdr:rowOff>
    </xdr:to>
    <xdr:sp macro="" textlink="">
      <xdr:nvSpPr>
        <xdr:cNvPr id="34817" name="Text Box 1">
          <a:extLst>
            <a:ext uri="{FF2B5EF4-FFF2-40B4-BE49-F238E27FC236}">
              <a16:creationId xmlns:a16="http://schemas.microsoft.com/office/drawing/2014/main" id="{00000000-0008-0000-1700-000001880000}"/>
            </a:ext>
          </a:extLst>
        </xdr:cNvPr>
        <xdr:cNvSpPr txBox="1">
          <a:spLocks noChangeArrowheads="1"/>
        </xdr:cNvSpPr>
      </xdr:nvSpPr>
      <xdr:spPr bwMode="auto">
        <a:xfrm>
          <a:off x="257174" y="295274"/>
          <a:ext cx="8677276" cy="1295401"/>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it-IT" sz="1600" b="0" i="0" u="none" strike="noStrike" baseline="0">
              <a:solidFill>
                <a:srgbClr val="000000"/>
              </a:solidFill>
              <a:latin typeface="Calibri"/>
            </a:rPr>
            <a:t>Si consideri l’operazione finanziaria che garantisce il raddoppio del capitale investito in 2 anni</a:t>
          </a:r>
        </a:p>
        <a:p>
          <a:pPr algn="l" rtl="0">
            <a:defRPr sz="1000"/>
          </a:pPr>
          <a:r>
            <a:rPr lang="it-IT" sz="1600" b="0" i="0" u="none" strike="noStrike" baseline="0">
              <a:solidFill>
                <a:srgbClr val="000000"/>
              </a:solidFill>
              <a:latin typeface="Calibri"/>
            </a:rPr>
            <a:t>e 3 mesi; calcolare il tasso di interesse e il tasso di sconto su base periodale. Calcolare il tasso</a:t>
          </a:r>
        </a:p>
        <a:p>
          <a:pPr algn="l" rtl="0">
            <a:defRPr sz="1000"/>
          </a:pPr>
          <a:r>
            <a:rPr lang="it-IT" sz="1600" b="0" i="0" u="none" strike="noStrike" baseline="0">
              <a:solidFill>
                <a:srgbClr val="000000"/>
              </a:solidFill>
              <a:latin typeface="Calibri"/>
            </a:rPr>
            <a:t>d’interesse equivalente su base annua e su base semestrale nel caso di legge esponenziale.</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73817</xdr:colOff>
      <xdr:row>0</xdr:row>
      <xdr:rowOff>26194</xdr:rowOff>
    </xdr:from>
    <xdr:to>
      <xdr:col>7</xdr:col>
      <xdr:colOff>714374</xdr:colOff>
      <xdr:row>19</xdr:row>
      <xdr:rowOff>47625</xdr:rowOff>
    </xdr:to>
    <xdr:sp macro="" textlink="">
      <xdr:nvSpPr>
        <xdr:cNvPr id="4123" name="Content Placeholder 4">
          <a:extLst>
            <a:ext uri="{FF2B5EF4-FFF2-40B4-BE49-F238E27FC236}">
              <a16:creationId xmlns:a16="http://schemas.microsoft.com/office/drawing/2014/main" id="{00000000-0008-0000-0B00-00001B100000}"/>
            </a:ext>
          </a:extLst>
        </xdr:cNvPr>
        <xdr:cNvSpPr>
          <a:spLocks/>
        </xdr:cNvSpPr>
      </xdr:nvSpPr>
      <xdr:spPr bwMode="auto">
        <a:xfrm>
          <a:off x="73817" y="26194"/>
          <a:ext cx="9155907" cy="3640931"/>
        </a:xfrm>
        <a:prstGeom prst="rect">
          <a:avLst/>
        </a:prstGeom>
        <a:solidFill>
          <a:srgbClr val="FFFFFF"/>
        </a:solidFill>
        <a:ln w="25400" algn="ctr">
          <a:solidFill>
            <a:srgbClr val="4F81BD"/>
          </a:solidFill>
          <a:miter lim="800000"/>
          <a:headEnd/>
          <a:tailEnd/>
        </a:ln>
      </xdr:spPr>
      <xdr:txBody>
        <a:bodyPr vertOverflow="clip" wrap="square" lIns="91440" tIns="45720" rIns="91440" bIns="45720" anchor="t" upright="1"/>
        <a:lstStyle/>
        <a:p>
          <a:pPr algn="l" rtl="0">
            <a:defRPr sz="1000"/>
          </a:pPr>
          <a:r>
            <a:rPr lang="it-IT" sz="1600" b="0" i="0" u="none" strike="noStrike" baseline="0">
              <a:solidFill>
                <a:srgbClr val="000000"/>
              </a:solidFill>
              <a:latin typeface="Calibri"/>
            </a:rPr>
            <a:t>Sia data l’operazione finanziaria {x</a:t>
          </a:r>
          <a:r>
            <a:rPr lang="it-IT" sz="1600" b="0" i="0" u="none" strike="noStrike" baseline="-25000">
              <a:solidFill>
                <a:srgbClr val="000000"/>
              </a:solidFill>
              <a:latin typeface="Calibri"/>
            </a:rPr>
            <a:t>0</a:t>
          </a:r>
          <a:r>
            <a:rPr lang="it-IT" sz="1600" b="0" i="0" u="none" strike="noStrike" baseline="0">
              <a:solidFill>
                <a:srgbClr val="000000"/>
              </a:solidFill>
              <a:latin typeface="Calibri"/>
            </a:rPr>
            <a:t>, x</a:t>
          </a:r>
          <a:r>
            <a:rPr lang="it-IT" sz="1600" b="0" i="0" u="none" strike="noStrike" baseline="-25000">
              <a:solidFill>
                <a:srgbClr val="000000"/>
              </a:solidFill>
              <a:latin typeface="Calibri"/>
            </a:rPr>
            <a:t>1</a:t>
          </a:r>
          <a:r>
            <a:rPr lang="it-IT" sz="1600" b="0" i="0" u="none" strike="noStrike" baseline="0">
              <a:solidFill>
                <a:srgbClr val="000000"/>
              </a:solidFill>
              <a:latin typeface="Calibri"/>
            </a:rPr>
            <a:t>}/ {t</a:t>
          </a:r>
          <a:r>
            <a:rPr lang="it-IT" sz="1600" b="0" i="0" u="none" strike="noStrike" baseline="-25000">
              <a:solidFill>
                <a:srgbClr val="000000"/>
              </a:solidFill>
              <a:latin typeface="Calibri"/>
            </a:rPr>
            <a:t>0</a:t>
          </a:r>
          <a:r>
            <a:rPr lang="it-IT" sz="1600" b="0" i="0" u="none" strike="noStrike" baseline="0">
              <a:solidFill>
                <a:srgbClr val="000000"/>
              </a:solidFill>
              <a:latin typeface="Calibri"/>
            </a:rPr>
            <a:t>, t</a:t>
          </a:r>
          <a:r>
            <a:rPr lang="it-IT" sz="1600" b="0" i="0" u="none" strike="noStrike" baseline="-25000">
              <a:solidFill>
                <a:srgbClr val="000000"/>
              </a:solidFill>
              <a:latin typeface="Calibri"/>
            </a:rPr>
            <a:t>1</a:t>
          </a:r>
          <a:r>
            <a:rPr lang="it-IT" sz="1600" b="0" i="0" u="none" strike="noStrike" baseline="0">
              <a:solidFill>
                <a:srgbClr val="000000"/>
              </a:solidFill>
              <a:latin typeface="Calibri"/>
            </a:rPr>
            <a:t>} con x</a:t>
          </a:r>
          <a:r>
            <a:rPr lang="it-IT" sz="1600" b="0" i="0" u="none" strike="noStrike" baseline="-25000">
              <a:solidFill>
                <a:srgbClr val="000000"/>
              </a:solidFill>
              <a:latin typeface="Calibri"/>
            </a:rPr>
            <a:t>0</a:t>
          </a:r>
          <a:r>
            <a:rPr lang="it-IT" sz="1600" b="0" i="0" u="none" strike="noStrike" baseline="0">
              <a:solidFill>
                <a:srgbClr val="000000"/>
              </a:solidFill>
              <a:latin typeface="Calibri"/>
            </a:rPr>
            <a:t> = - 98 euro, x</a:t>
          </a:r>
          <a:r>
            <a:rPr lang="it-IT" sz="1600" b="0" i="0" u="none" strike="noStrike" baseline="-25000">
              <a:solidFill>
                <a:srgbClr val="000000"/>
              </a:solidFill>
              <a:latin typeface="Calibri"/>
            </a:rPr>
            <a:t>1 </a:t>
          </a:r>
          <a:r>
            <a:rPr lang="it-IT" sz="1600" b="0" i="0" u="none" strike="noStrike" baseline="0">
              <a:solidFill>
                <a:srgbClr val="000000"/>
              </a:solidFill>
              <a:latin typeface="Calibri"/>
            </a:rPr>
            <a:t>= 102 euro t</a:t>
          </a:r>
          <a:r>
            <a:rPr lang="it-IT" sz="1600" b="0" i="0" u="none" strike="noStrike" baseline="-25000">
              <a:solidFill>
                <a:srgbClr val="000000"/>
              </a:solidFill>
              <a:latin typeface="Calibri"/>
            </a:rPr>
            <a:t>0</a:t>
          </a:r>
          <a:r>
            <a:rPr lang="it-IT" sz="1600" b="0" i="0" u="none" strike="noStrike" baseline="0">
              <a:solidFill>
                <a:srgbClr val="000000"/>
              </a:solidFill>
              <a:latin typeface="Calibri"/>
            </a:rPr>
            <a:t> =  0, t</a:t>
          </a:r>
          <a:r>
            <a:rPr lang="it-IT" sz="1600" b="0" i="0" u="none" strike="noStrike" baseline="-25000">
              <a:solidFill>
                <a:srgbClr val="000000"/>
              </a:solidFill>
              <a:latin typeface="Calibri"/>
            </a:rPr>
            <a:t>1</a:t>
          </a:r>
          <a:r>
            <a:rPr lang="it-IT" sz="1600" b="0" i="0" u="none" strike="noStrike" baseline="0">
              <a:solidFill>
                <a:srgbClr val="000000"/>
              </a:solidFill>
              <a:latin typeface="Calibri"/>
            </a:rPr>
            <a:t> = 4 mesi. In regime di capitalizzazione esponenziale calcolare relativamente all’operazione</a:t>
          </a:r>
        </a:p>
        <a:p>
          <a:pPr algn="l" rtl="0">
            <a:defRPr sz="1000"/>
          </a:pPr>
          <a:r>
            <a:rPr lang="it-IT" sz="1600" b="0" i="0" u="none" strike="noStrike" baseline="0">
              <a:solidFill>
                <a:srgbClr val="000000"/>
              </a:solidFill>
              <a:latin typeface="Calibri"/>
            </a:rPr>
            <a:t>(a) Il tasso annuo di interesse  (%)</a:t>
          </a:r>
        </a:p>
        <a:p>
          <a:pPr algn="l" rtl="0">
            <a:defRPr sz="1000"/>
          </a:pPr>
          <a:r>
            <a:rPr lang="it-IT" sz="1600" b="0" i="0" u="none" strike="noStrike" baseline="0">
              <a:solidFill>
                <a:srgbClr val="000000"/>
              </a:solidFill>
              <a:latin typeface="Calibri"/>
            </a:rPr>
            <a:t>(b) il tasso semestrale di interesse  (%)</a:t>
          </a:r>
        </a:p>
        <a:p>
          <a:pPr algn="l" rtl="0">
            <a:defRPr sz="1000"/>
          </a:pPr>
          <a:endParaRPr lang="it-IT" sz="1600" b="0" i="0" u="none" strike="noStrike" baseline="0">
            <a:solidFill>
              <a:srgbClr val="000000"/>
            </a:solidFill>
            <a:latin typeface="Calibri"/>
          </a:endParaRPr>
        </a:p>
        <a:p>
          <a:pPr algn="l" rtl="0">
            <a:defRPr sz="1000"/>
          </a:pPr>
          <a:r>
            <a:rPr lang="it-IT" sz="1600" b="0" i="0" u="none" strike="noStrike" baseline="0">
              <a:solidFill>
                <a:srgbClr val="000000"/>
              </a:solidFill>
              <a:latin typeface="Calibri"/>
            </a:rPr>
            <a:t>In regime di capitalizzazione lineare calcolare relativamente all’operazione:</a:t>
          </a:r>
        </a:p>
        <a:p>
          <a:pPr algn="l" rtl="0">
            <a:defRPr sz="1000"/>
          </a:pPr>
          <a:r>
            <a:rPr lang="it-IT" sz="1600" b="0" i="0" u="none" strike="noStrike" baseline="0">
              <a:solidFill>
                <a:srgbClr val="000000"/>
              </a:solidFill>
              <a:latin typeface="Calibri"/>
            </a:rPr>
            <a:t>(c) Il tasso annuo di interesse  (%)</a:t>
          </a:r>
        </a:p>
        <a:p>
          <a:pPr algn="l" rtl="0">
            <a:defRPr sz="1000"/>
          </a:pPr>
          <a:r>
            <a:rPr lang="it-IT" sz="1600" b="0" i="0" u="none" strike="noStrike" baseline="0">
              <a:solidFill>
                <a:srgbClr val="000000"/>
              </a:solidFill>
              <a:latin typeface="Calibri"/>
            </a:rPr>
            <a:t>(d) il tasso semestrale di interesse  (%)</a:t>
          </a:r>
        </a:p>
        <a:p>
          <a:pPr algn="l" rtl="0">
            <a:defRPr sz="1000"/>
          </a:pPr>
          <a:endParaRPr lang="it-IT" sz="1600" b="0" i="0" u="none" strike="noStrike" baseline="0">
            <a:solidFill>
              <a:srgbClr val="000000"/>
            </a:solidFill>
            <a:latin typeface="Calibri"/>
          </a:endParaRPr>
        </a:p>
        <a:p>
          <a:pPr algn="l" rtl="0">
            <a:defRPr sz="1000"/>
          </a:pPr>
          <a:r>
            <a:rPr lang="it-IT" sz="1600" b="0" i="0" u="none" strike="noStrike" baseline="0">
              <a:solidFill>
                <a:srgbClr val="000000"/>
              </a:solidFill>
              <a:latin typeface="Calibri"/>
            </a:rPr>
            <a:t>Si supponga di aggiungere all’operazione un importo x</a:t>
          </a:r>
          <a:r>
            <a:rPr lang="it-IT" sz="1600" b="0" i="0" u="none" strike="noStrike" baseline="-25000">
              <a:solidFill>
                <a:srgbClr val="000000"/>
              </a:solidFill>
              <a:latin typeface="Calibri"/>
            </a:rPr>
            <a:t>3</a:t>
          </a:r>
          <a:r>
            <a:rPr lang="it-IT" sz="1600" b="0" i="0" u="none" strike="noStrike" baseline="0">
              <a:solidFill>
                <a:srgbClr val="000000"/>
              </a:solidFill>
              <a:latin typeface="Calibri"/>
            </a:rPr>
            <a:t> =  100 euro al tempo t</a:t>
          </a:r>
          <a:r>
            <a:rPr lang="it-IT" sz="1600" b="0" i="0" u="none" strike="noStrike" baseline="-25000">
              <a:solidFill>
                <a:srgbClr val="000000"/>
              </a:solidFill>
              <a:latin typeface="Calibri"/>
            </a:rPr>
            <a:t>3</a:t>
          </a:r>
          <a:r>
            <a:rPr lang="it-IT" sz="1600" b="0" i="0" u="none" strike="noStrike" baseline="0">
              <a:solidFill>
                <a:srgbClr val="000000"/>
              </a:solidFill>
              <a:latin typeface="Calibri"/>
            </a:rPr>
            <a:t> = 9 mesi. Determinare l’importo x</a:t>
          </a:r>
          <a:r>
            <a:rPr lang="it-IT" sz="1600" b="0" i="0" u="none" strike="noStrike" baseline="-25000">
              <a:solidFill>
                <a:srgbClr val="000000"/>
              </a:solidFill>
              <a:latin typeface="Calibri"/>
            </a:rPr>
            <a:t>2</a:t>
          </a:r>
          <a:r>
            <a:rPr lang="it-IT" sz="1600" b="0" i="0" u="none" strike="noStrike" baseline="0">
              <a:solidFill>
                <a:srgbClr val="000000"/>
              </a:solidFill>
              <a:latin typeface="Calibri"/>
            </a:rPr>
            <a:t> che bisogna aggiungere al tempo t</a:t>
          </a:r>
          <a:r>
            <a:rPr lang="it-IT" sz="1600" b="0" i="0" u="none" strike="noStrike" baseline="-25000">
              <a:solidFill>
                <a:srgbClr val="000000"/>
              </a:solidFill>
              <a:latin typeface="Calibri"/>
            </a:rPr>
            <a:t>2</a:t>
          </a:r>
          <a:r>
            <a:rPr lang="it-IT" sz="1600" b="0" i="0" u="none" strike="noStrike" baseline="0">
              <a:solidFill>
                <a:srgbClr val="000000"/>
              </a:solidFill>
              <a:latin typeface="Calibri"/>
            </a:rPr>
            <a:t> = 7 mesi affinché l’operazione {x</a:t>
          </a:r>
          <a:r>
            <a:rPr lang="it-IT" sz="1600" b="0" i="0" u="none" strike="noStrike" baseline="-25000">
              <a:solidFill>
                <a:srgbClr val="000000"/>
              </a:solidFill>
              <a:latin typeface="Calibri"/>
            </a:rPr>
            <a:t>0</a:t>
          </a:r>
          <a:r>
            <a:rPr lang="it-IT" sz="1600" b="0" i="0" u="none" strike="noStrike" baseline="0">
              <a:solidFill>
                <a:srgbClr val="000000"/>
              </a:solidFill>
              <a:latin typeface="Calibri"/>
            </a:rPr>
            <a:t>,  x</a:t>
          </a:r>
          <a:r>
            <a:rPr lang="it-IT" sz="1600" b="0" i="0" u="none" strike="noStrike" baseline="-25000">
              <a:solidFill>
                <a:srgbClr val="000000"/>
              </a:solidFill>
              <a:latin typeface="Calibri"/>
            </a:rPr>
            <a:t>1</a:t>
          </a:r>
          <a:r>
            <a:rPr lang="it-IT" sz="1600" b="0" i="0" u="none" strike="noStrike" baseline="0">
              <a:solidFill>
                <a:srgbClr val="000000"/>
              </a:solidFill>
              <a:latin typeface="Calibri"/>
            </a:rPr>
            <a:t>,  x</a:t>
          </a:r>
          <a:r>
            <a:rPr lang="it-IT" sz="1600" b="0" i="0" u="none" strike="noStrike" baseline="-25000">
              <a:solidFill>
                <a:srgbClr val="000000"/>
              </a:solidFill>
              <a:latin typeface="Calibri"/>
            </a:rPr>
            <a:t>2</a:t>
          </a:r>
          <a:r>
            <a:rPr lang="it-IT" sz="1600" b="0" i="0" u="none" strike="noStrike" baseline="0">
              <a:solidFill>
                <a:srgbClr val="000000"/>
              </a:solidFill>
              <a:latin typeface="Calibri"/>
            </a:rPr>
            <a:t>,  x</a:t>
          </a:r>
          <a:r>
            <a:rPr lang="it-IT" sz="1600" b="0" i="0" u="none" strike="noStrike" baseline="-25000">
              <a:solidFill>
                <a:srgbClr val="000000"/>
              </a:solidFill>
              <a:latin typeface="Calibri"/>
            </a:rPr>
            <a:t>3</a:t>
          </a:r>
          <a:r>
            <a:rPr lang="it-IT" sz="1600" b="0" i="0" u="none" strike="noStrike" baseline="0">
              <a:solidFill>
                <a:srgbClr val="000000"/>
              </a:solidFill>
              <a:latin typeface="Calibri"/>
            </a:rPr>
            <a:t>}/ {t</a:t>
          </a:r>
          <a:r>
            <a:rPr lang="it-IT" sz="1600" b="0" i="0" u="none" strike="noStrike" baseline="-25000">
              <a:solidFill>
                <a:srgbClr val="000000"/>
              </a:solidFill>
              <a:latin typeface="Calibri"/>
            </a:rPr>
            <a:t>0</a:t>
          </a:r>
          <a:r>
            <a:rPr lang="it-IT" sz="1600" b="0" i="0" u="none" strike="noStrike" baseline="0">
              <a:solidFill>
                <a:srgbClr val="000000"/>
              </a:solidFill>
              <a:latin typeface="Calibri"/>
            </a:rPr>
            <a:t>, t</a:t>
          </a:r>
          <a:r>
            <a:rPr lang="it-IT" sz="1600" b="0" i="0" u="none" strike="noStrike" baseline="-25000">
              <a:solidFill>
                <a:srgbClr val="000000"/>
              </a:solidFill>
              <a:latin typeface="Calibri"/>
            </a:rPr>
            <a:t>1</a:t>
          </a:r>
          <a:r>
            <a:rPr lang="it-IT" sz="1600" b="0" i="0" u="none" strike="noStrike" baseline="0">
              <a:solidFill>
                <a:srgbClr val="000000"/>
              </a:solidFill>
              <a:latin typeface="Calibri"/>
            </a:rPr>
            <a:t>, t</a:t>
          </a:r>
          <a:r>
            <a:rPr lang="it-IT" sz="1600" b="0" i="0" u="none" strike="noStrike" baseline="-25000">
              <a:solidFill>
                <a:srgbClr val="000000"/>
              </a:solidFill>
              <a:latin typeface="Calibri"/>
            </a:rPr>
            <a:t>2</a:t>
          </a:r>
          <a:r>
            <a:rPr lang="it-IT" sz="1600" b="0" i="0" u="none" strike="noStrike" baseline="0">
              <a:solidFill>
                <a:srgbClr val="000000"/>
              </a:solidFill>
              <a:latin typeface="Calibri"/>
            </a:rPr>
            <a:t>, t</a:t>
          </a:r>
          <a:r>
            <a:rPr lang="it-IT" sz="1600" b="0" i="0" u="none" strike="noStrike" baseline="-25000">
              <a:solidFill>
                <a:srgbClr val="000000"/>
              </a:solidFill>
              <a:latin typeface="Calibri"/>
            </a:rPr>
            <a:t>3</a:t>
          </a:r>
          <a:r>
            <a:rPr lang="it-IT" sz="1600" b="0" i="0" u="none" strike="noStrike" baseline="0">
              <a:solidFill>
                <a:srgbClr val="000000"/>
              </a:solidFill>
              <a:latin typeface="Calibri"/>
            </a:rPr>
            <a:t>} sia ancora equa secondo la legge di capitalizzazione esponenziale allo stesso tasso dell’operazione di partenza</a:t>
          </a:r>
        </a:p>
        <a:p>
          <a:pPr algn="l" rtl="0">
            <a:defRPr sz="1000"/>
          </a:pPr>
          <a:r>
            <a:rPr lang="it-IT" sz="1400" b="0" i="0" u="none" strike="noStrike" baseline="0">
              <a:solidFill>
                <a:srgbClr val="000000"/>
              </a:solidFill>
              <a:latin typeface="Calibri"/>
            </a:rPr>
            <a:t>(e) </a:t>
          </a:r>
          <a:r>
            <a:rPr lang="it-IT" sz="1600" b="0" i="0" u="none" strike="noStrike" baseline="0">
              <a:solidFill>
                <a:srgbClr val="000000"/>
              </a:solidFill>
              <a:latin typeface="Calibri"/>
            </a:rPr>
            <a:t>Importo da aggiungere x</a:t>
          </a:r>
          <a:r>
            <a:rPr lang="it-IT" sz="1600" b="0" i="0" u="none" strike="noStrike" baseline="-25000">
              <a:solidFill>
                <a:srgbClr val="000000"/>
              </a:solidFill>
              <a:latin typeface="Calibri"/>
            </a:rPr>
            <a:t>2</a:t>
          </a:r>
        </a:p>
        <a:p>
          <a:pPr algn="l" rtl="0">
            <a:defRPr sz="1000"/>
          </a:pPr>
          <a:endParaRPr lang="it-IT" sz="1600" b="0" i="0" u="none" strike="noStrike" baseline="0">
            <a:solidFill>
              <a:srgbClr val="000000"/>
            </a:solidFill>
            <a:latin typeface="Calibri"/>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145732</xdr:colOff>
      <xdr:row>0</xdr:row>
      <xdr:rowOff>49530</xdr:rowOff>
    </xdr:from>
    <xdr:to>
      <xdr:col>6</xdr:col>
      <xdr:colOff>1142999</xdr:colOff>
      <xdr:row>20</xdr:row>
      <xdr:rowOff>95250</xdr:rowOff>
    </xdr:to>
    <xdr:sp macro="" textlink="">
      <xdr:nvSpPr>
        <xdr:cNvPr id="5147" name="Content Placeholder 4">
          <a:extLst>
            <a:ext uri="{FF2B5EF4-FFF2-40B4-BE49-F238E27FC236}">
              <a16:creationId xmlns:a16="http://schemas.microsoft.com/office/drawing/2014/main" id="{00000000-0008-0000-0C00-00001B140000}"/>
            </a:ext>
          </a:extLst>
        </xdr:cNvPr>
        <xdr:cNvSpPr>
          <a:spLocks/>
        </xdr:cNvSpPr>
      </xdr:nvSpPr>
      <xdr:spPr bwMode="auto">
        <a:xfrm>
          <a:off x="145732" y="49530"/>
          <a:ext cx="8931592" cy="3665220"/>
        </a:xfrm>
        <a:prstGeom prst="rect">
          <a:avLst/>
        </a:prstGeom>
        <a:solidFill>
          <a:srgbClr val="FFFFFF"/>
        </a:solidFill>
        <a:ln w="25400" algn="ctr">
          <a:solidFill>
            <a:srgbClr val="4F81BD"/>
          </a:solidFill>
          <a:miter lim="800000"/>
          <a:headEnd/>
          <a:tailEnd/>
        </a:ln>
      </xdr:spPr>
      <xdr:txBody>
        <a:bodyPr vertOverflow="clip" wrap="square" lIns="91440" tIns="45720" rIns="91440" bIns="45720" anchor="t" upright="1"/>
        <a:lstStyle/>
        <a:p>
          <a:pPr algn="l" rtl="0">
            <a:defRPr sz="1000"/>
          </a:pPr>
          <a:r>
            <a:rPr lang="it-IT" sz="1600" b="0" i="0" u="none" strike="noStrike" baseline="0">
              <a:solidFill>
                <a:srgbClr val="000000"/>
              </a:solidFill>
              <a:latin typeface="Calibri"/>
            </a:rPr>
            <a:t>Sia data l’operazione finanziaria {x</a:t>
          </a:r>
          <a:r>
            <a:rPr lang="it-IT" sz="1600" b="0" i="0" u="none" strike="noStrike" baseline="-25000">
              <a:solidFill>
                <a:srgbClr val="000000"/>
              </a:solidFill>
              <a:latin typeface="Calibri"/>
            </a:rPr>
            <a:t>0</a:t>
          </a:r>
          <a:r>
            <a:rPr lang="it-IT" sz="1600" b="0" i="0" u="none" strike="noStrike" baseline="0">
              <a:solidFill>
                <a:srgbClr val="000000"/>
              </a:solidFill>
              <a:latin typeface="Calibri"/>
            </a:rPr>
            <a:t>, x</a:t>
          </a:r>
          <a:r>
            <a:rPr lang="it-IT" sz="1600" b="0" i="0" u="none" strike="noStrike" baseline="-25000">
              <a:solidFill>
                <a:srgbClr val="000000"/>
              </a:solidFill>
              <a:latin typeface="Calibri"/>
            </a:rPr>
            <a:t>1</a:t>
          </a:r>
          <a:r>
            <a:rPr lang="it-IT" sz="1600" b="0" i="0" u="none" strike="noStrike" baseline="0">
              <a:solidFill>
                <a:srgbClr val="000000"/>
              </a:solidFill>
              <a:latin typeface="Calibri"/>
            </a:rPr>
            <a:t>}/ {t</a:t>
          </a:r>
          <a:r>
            <a:rPr lang="it-IT" sz="1600" b="0" i="0" u="none" strike="noStrike" baseline="-25000">
              <a:solidFill>
                <a:srgbClr val="000000"/>
              </a:solidFill>
              <a:latin typeface="Calibri"/>
            </a:rPr>
            <a:t>0</a:t>
          </a:r>
          <a:r>
            <a:rPr lang="it-IT" sz="1600" b="0" i="0" u="none" strike="noStrike" baseline="0">
              <a:solidFill>
                <a:srgbClr val="000000"/>
              </a:solidFill>
              <a:latin typeface="Calibri"/>
            </a:rPr>
            <a:t>, t</a:t>
          </a:r>
          <a:r>
            <a:rPr lang="it-IT" sz="1600" b="0" i="0" u="none" strike="noStrike" baseline="-25000">
              <a:solidFill>
                <a:srgbClr val="000000"/>
              </a:solidFill>
              <a:latin typeface="Calibri"/>
            </a:rPr>
            <a:t>1</a:t>
          </a:r>
          <a:r>
            <a:rPr lang="it-IT" sz="1600" b="0" i="0" u="none" strike="noStrike" baseline="0">
              <a:solidFill>
                <a:srgbClr val="000000"/>
              </a:solidFill>
              <a:latin typeface="Calibri"/>
            </a:rPr>
            <a:t>} con x</a:t>
          </a:r>
          <a:r>
            <a:rPr lang="it-IT" sz="1600" b="0" i="0" u="none" strike="noStrike" baseline="-25000">
              <a:solidFill>
                <a:srgbClr val="000000"/>
              </a:solidFill>
              <a:latin typeface="Calibri"/>
            </a:rPr>
            <a:t>0</a:t>
          </a:r>
          <a:r>
            <a:rPr lang="it-IT" sz="1600" b="0" i="0" u="none" strike="noStrike" baseline="0">
              <a:solidFill>
                <a:srgbClr val="000000"/>
              </a:solidFill>
              <a:latin typeface="Calibri"/>
            </a:rPr>
            <a:t> = -102 euro, x1 = 107 euro, t</a:t>
          </a:r>
          <a:r>
            <a:rPr lang="it-IT" sz="1600" b="0" i="0" u="none" strike="noStrike" baseline="-25000">
              <a:solidFill>
                <a:srgbClr val="000000"/>
              </a:solidFill>
              <a:latin typeface="Calibri"/>
            </a:rPr>
            <a:t>0</a:t>
          </a:r>
          <a:r>
            <a:rPr lang="it-IT" sz="1600" b="0" i="0" u="none" strike="noStrike" baseline="0">
              <a:solidFill>
                <a:srgbClr val="000000"/>
              </a:solidFill>
              <a:latin typeface="Calibri"/>
            </a:rPr>
            <a:t> = 0, t</a:t>
          </a:r>
          <a:r>
            <a:rPr lang="it-IT" sz="1600" b="0" i="0" u="none" strike="noStrike" baseline="-25000">
              <a:solidFill>
                <a:srgbClr val="000000"/>
              </a:solidFill>
              <a:latin typeface="Calibri"/>
            </a:rPr>
            <a:t>1</a:t>
          </a:r>
          <a:r>
            <a:rPr lang="it-IT" sz="1600" b="0" i="0" u="none" strike="noStrike" baseline="0">
              <a:solidFill>
                <a:srgbClr val="000000"/>
              </a:solidFill>
              <a:latin typeface="Calibri"/>
            </a:rPr>
            <a:t> = 5 mesi. In regime di capitalizzazione esponenziale calcolare relativamente all’operazione</a:t>
          </a:r>
        </a:p>
        <a:p>
          <a:pPr algn="l" rtl="0">
            <a:defRPr sz="1000"/>
          </a:pPr>
          <a:r>
            <a:rPr lang="it-IT" sz="1600" b="0" i="0" u="none" strike="noStrike" baseline="0">
              <a:solidFill>
                <a:srgbClr val="000000"/>
              </a:solidFill>
              <a:latin typeface="Calibri"/>
            </a:rPr>
            <a:t>(a) Il tasso annuo di interesse  (%)</a:t>
          </a:r>
        </a:p>
        <a:p>
          <a:pPr algn="l" rtl="0">
            <a:defRPr sz="1000"/>
          </a:pPr>
          <a:r>
            <a:rPr lang="it-IT" sz="1600" b="0" i="0" u="none" strike="noStrike" baseline="0">
              <a:solidFill>
                <a:srgbClr val="000000"/>
              </a:solidFill>
              <a:latin typeface="Calibri"/>
            </a:rPr>
            <a:t>(b) il tasso semestrale di interesse  (%)</a:t>
          </a:r>
        </a:p>
        <a:p>
          <a:pPr algn="l" rtl="0">
            <a:defRPr sz="1000"/>
          </a:pPr>
          <a:endParaRPr lang="it-IT" sz="1600" b="0" i="0" u="none" strike="noStrike" baseline="0">
            <a:solidFill>
              <a:srgbClr val="000000"/>
            </a:solidFill>
            <a:latin typeface="Calibri"/>
          </a:endParaRPr>
        </a:p>
        <a:p>
          <a:pPr algn="l" rtl="0">
            <a:defRPr sz="1000"/>
          </a:pPr>
          <a:r>
            <a:rPr lang="it-IT" sz="1600" b="0" i="0" u="none" strike="noStrike" baseline="0">
              <a:solidFill>
                <a:srgbClr val="000000"/>
              </a:solidFill>
              <a:latin typeface="Calibri"/>
            </a:rPr>
            <a:t>In regime di capitalizzazione lineare calcolare relativamente all’operazione:</a:t>
          </a:r>
        </a:p>
        <a:p>
          <a:pPr algn="l" rtl="0">
            <a:defRPr sz="1000"/>
          </a:pPr>
          <a:r>
            <a:rPr lang="it-IT" sz="1600" b="0" i="0" u="none" strike="noStrike" baseline="0">
              <a:solidFill>
                <a:srgbClr val="000000"/>
              </a:solidFill>
              <a:latin typeface="Calibri"/>
            </a:rPr>
            <a:t>(c) Il tasso annuo di interesse  (%)</a:t>
          </a:r>
        </a:p>
        <a:p>
          <a:pPr algn="l" rtl="0">
            <a:defRPr sz="1000"/>
          </a:pPr>
          <a:r>
            <a:rPr lang="it-IT" sz="1600" b="0" i="0" u="none" strike="noStrike" baseline="0">
              <a:solidFill>
                <a:srgbClr val="000000"/>
              </a:solidFill>
              <a:latin typeface="Calibri"/>
            </a:rPr>
            <a:t>(d) il tasso semestrale di interesse  (%)</a:t>
          </a:r>
        </a:p>
        <a:p>
          <a:pPr algn="l" rtl="0">
            <a:defRPr sz="1000"/>
          </a:pPr>
          <a:endParaRPr lang="it-IT" sz="1600" b="0" i="0" u="none" strike="noStrike" baseline="0">
            <a:solidFill>
              <a:srgbClr val="000000"/>
            </a:solidFill>
            <a:latin typeface="Calibri"/>
          </a:endParaRPr>
        </a:p>
        <a:p>
          <a:pPr algn="l" rtl="0">
            <a:defRPr sz="1000"/>
          </a:pPr>
          <a:r>
            <a:rPr lang="it-IT" sz="1600" b="0" i="0" u="none" strike="noStrike" baseline="0">
              <a:solidFill>
                <a:srgbClr val="000000"/>
              </a:solidFill>
              <a:latin typeface="Calibri"/>
            </a:rPr>
            <a:t>Si supponga di aggiungere all’operazione un importo x</a:t>
          </a:r>
          <a:r>
            <a:rPr lang="it-IT" sz="1600" b="0" i="0" u="none" strike="noStrike" baseline="-25000">
              <a:solidFill>
                <a:srgbClr val="000000"/>
              </a:solidFill>
              <a:latin typeface="Calibri"/>
            </a:rPr>
            <a:t>2</a:t>
          </a:r>
          <a:r>
            <a:rPr lang="it-IT" sz="1600" b="0" i="0" u="none" strike="noStrike" baseline="0">
              <a:solidFill>
                <a:srgbClr val="000000"/>
              </a:solidFill>
              <a:latin typeface="Calibri"/>
            </a:rPr>
            <a:t> =  80 euro al tempo t</a:t>
          </a:r>
          <a:r>
            <a:rPr lang="it-IT" sz="1600" b="0" i="0" u="none" strike="noStrike" baseline="-25000">
              <a:solidFill>
                <a:srgbClr val="000000"/>
              </a:solidFill>
              <a:latin typeface="Calibri"/>
            </a:rPr>
            <a:t>2</a:t>
          </a:r>
          <a:r>
            <a:rPr lang="it-IT" sz="1600" b="0" i="0" u="none" strike="noStrike" baseline="0">
              <a:solidFill>
                <a:srgbClr val="000000"/>
              </a:solidFill>
              <a:latin typeface="Calibri"/>
            </a:rPr>
            <a:t> = 7 mesi. Determinare l’importo x</a:t>
          </a:r>
          <a:r>
            <a:rPr lang="it-IT" sz="1600" b="0" i="0" u="none" strike="noStrike" baseline="-25000">
              <a:solidFill>
                <a:srgbClr val="000000"/>
              </a:solidFill>
              <a:latin typeface="Calibri"/>
            </a:rPr>
            <a:t>3</a:t>
          </a:r>
          <a:r>
            <a:rPr lang="it-IT" sz="1600" b="0" i="0" u="none" strike="noStrike" baseline="0">
              <a:solidFill>
                <a:srgbClr val="000000"/>
              </a:solidFill>
              <a:latin typeface="Calibri"/>
            </a:rPr>
            <a:t> che bisogna aggiungere al tempo t</a:t>
          </a:r>
          <a:r>
            <a:rPr lang="it-IT" sz="1600" b="0" i="0" u="none" strike="noStrike" baseline="-25000">
              <a:solidFill>
                <a:srgbClr val="000000"/>
              </a:solidFill>
              <a:latin typeface="Calibri"/>
            </a:rPr>
            <a:t>3</a:t>
          </a:r>
          <a:r>
            <a:rPr lang="it-IT" sz="1600" b="0" i="0" u="none" strike="noStrike" baseline="0">
              <a:solidFill>
                <a:srgbClr val="000000"/>
              </a:solidFill>
              <a:latin typeface="Calibri"/>
            </a:rPr>
            <a:t> = 9 mesi affinché l’operazione {x</a:t>
          </a:r>
          <a:r>
            <a:rPr lang="it-IT" sz="1600" b="0" i="0" u="none" strike="noStrike" baseline="-25000">
              <a:solidFill>
                <a:srgbClr val="000000"/>
              </a:solidFill>
              <a:latin typeface="Calibri"/>
            </a:rPr>
            <a:t>0</a:t>
          </a:r>
          <a:r>
            <a:rPr lang="it-IT" sz="1600" b="0" i="0" u="none" strike="noStrike" baseline="0">
              <a:solidFill>
                <a:srgbClr val="000000"/>
              </a:solidFill>
              <a:latin typeface="Calibri"/>
            </a:rPr>
            <a:t>,  x</a:t>
          </a:r>
          <a:r>
            <a:rPr lang="it-IT" sz="1600" b="0" i="0" u="none" strike="noStrike" baseline="-25000">
              <a:solidFill>
                <a:srgbClr val="000000"/>
              </a:solidFill>
              <a:latin typeface="Calibri"/>
            </a:rPr>
            <a:t>1</a:t>
          </a:r>
          <a:r>
            <a:rPr lang="it-IT" sz="1600" b="0" i="0" u="none" strike="noStrike" baseline="0">
              <a:solidFill>
                <a:srgbClr val="000000"/>
              </a:solidFill>
              <a:latin typeface="Calibri"/>
            </a:rPr>
            <a:t>,  x</a:t>
          </a:r>
          <a:r>
            <a:rPr lang="it-IT" sz="1600" b="0" i="0" u="none" strike="noStrike" baseline="-25000">
              <a:solidFill>
                <a:srgbClr val="000000"/>
              </a:solidFill>
              <a:latin typeface="Calibri"/>
            </a:rPr>
            <a:t>2</a:t>
          </a:r>
          <a:r>
            <a:rPr lang="it-IT" sz="1600" b="0" i="0" u="none" strike="noStrike" baseline="0">
              <a:solidFill>
                <a:srgbClr val="000000"/>
              </a:solidFill>
              <a:latin typeface="Calibri"/>
            </a:rPr>
            <a:t>,  x</a:t>
          </a:r>
          <a:r>
            <a:rPr lang="it-IT" sz="1600" b="0" i="0" u="none" strike="noStrike" baseline="-25000">
              <a:solidFill>
                <a:srgbClr val="000000"/>
              </a:solidFill>
              <a:latin typeface="Calibri"/>
            </a:rPr>
            <a:t>3</a:t>
          </a:r>
          <a:r>
            <a:rPr lang="it-IT" sz="1600" b="0" i="0" u="none" strike="noStrike" baseline="0">
              <a:solidFill>
                <a:srgbClr val="000000"/>
              </a:solidFill>
              <a:latin typeface="Calibri"/>
            </a:rPr>
            <a:t>}/ {t</a:t>
          </a:r>
          <a:r>
            <a:rPr lang="it-IT" sz="1600" b="0" i="0" u="none" strike="noStrike" baseline="-25000">
              <a:solidFill>
                <a:srgbClr val="000000"/>
              </a:solidFill>
              <a:latin typeface="Calibri"/>
            </a:rPr>
            <a:t>0</a:t>
          </a:r>
          <a:r>
            <a:rPr lang="it-IT" sz="1600" b="0" i="0" u="none" strike="noStrike" baseline="0">
              <a:solidFill>
                <a:srgbClr val="000000"/>
              </a:solidFill>
              <a:latin typeface="Calibri"/>
            </a:rPr>
            <a:t>, t</a:t>
          </a:r>
          <a:r>
            <a:rPr lang="it-IT" sz="1600" b="0" i="0" u="none" strike="noStrike" baseline="-25000">
              <a:solidFill>
                <a:srgbClr val="000000"/>
              </a:solidFill>
              <a:latin typeface="Calibri"/>
            </a:rPr>
            <a:t>1</a:t>
          </a:r>
          <a:r>
            <a:rPr lang="it-IT" sz="1600" b="0" i="0" u="none" strike="noStrike" baseline="0">
              <a:solidFill>
                <a:srgbClr val="000000"/>
              </a:solidFill>
              <a:latin typeface="Calibri"/>
            </a:rPr>
            <a:t>, t</a:t>
          </a:r>
          <a:r>
            <a:rPr lang="it-IT" sz="1600" b="0" i="0" u="none" strike="noStrike" baseline="-25000">
              <a:solidFill>
                <a:srgbClr val="000000"/>
              </a:solidFill>
              <a:latin typeface="Calibri"/>
            </a:rPr>
            <a:t>2</a:t>
          </a:r>
          <a:r>
            <a:rPr lang="it-IT" sz="1600" b="0" i="0" u="none" strike="noStrike" baseline="0">
              <a:solidFill>
                <a:srgbClr val="000000"/>
              </a:solidFill>
              <a:latin typeface="Calibri"/>
            </a:rPr>
            <a:t>, t</a:t>
          </a:r>
          <a:r>
            <a:rPr lang="it-IT" sz="1600" b="0" i="0" u="none" strike="noStrike" baseline="-25000">
              <a:solidFill>
                <a:srgbClr val="000000"/>
              </a:solidFill>
              <a:latin typeface="Calibri"/>
            </a:rPr>
            <a:t>3</a:t>
          </a:r>
          <a:r>
            <a:rPr lang="it-IT" sz="1600" b="0" i="0" u="none" strike="noStrike" baseline="0">
              <a:solidFill>
                <a:srgbClr val="000000"/>
              </a:solidFill>
              <a:latin typeface="Calibri"/>
            </a:rPr>
            <a:t>} sia ancora equa secondo la legge di capitalizzazione esponenziale  allo stesso tasso dell’operazione di partenza</a:t>
          </a:r>
        </a:p>
        <a:p>
          <a:pPr algn="l" rtl="0">
            <a:defRPr sz="1000"/>
          </a:pPr>
          <a:r>
            <a:rPr lang="it-IT" sz="1400" b="0" i="0" u="none" strike="noStrike" baseline="0">
              <a:solidFill>
                <a:srgbClr val="000000"/>
              </a:solidFill>
              <a:latin typeface="Calibri"/>
            </a:rPr>
            <a:t>(e) </a:t>
          </a:r>
          <a:r>
            <a:rPr lang="it-IT" sz="1600" b="0" i="0" u="none" strike="noStrike" baseline="0">
              <a:solidFill>
                <a:srgbClr val="000000"/>
              </a:solidFill>
              <a:latin typeface="Calibri"/>
            </a:rPr>
            <a:t>Importo da aggiungere x</a:t>
          </a:r>
          <a:r>
            <a:rPr lang="it-IT" sz="1600" b="0" i="0" u="none" strike="noStrike" baseline="-25000">
              <a:solidFill>
                <a:srgbClr val="000000"/>
              </a:solidFill>
              <a:latin typeface="Calibri"/>
            </a:rPr>
            <a:t>3</a:t>
          </a:r>
        </a:p>
        <a:p>
          <a:pPr algn="l" rtl="0">
            <a:defRPr sz="1000"/>
          </a:pPr>
          <a:endParaRPr lang="it-IT" sz="1600" b="0" i="0" u="none" strike="noStrike" baseline="0">
            <a:solidFill>
              <a:srgbClr val="000000"/>
            </a:solidFill>
            <a:latin typeface="Calibri"/>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156632</xdr:colOff>
      <xdr:row>0</xdr:row>
      <xdr:rowOff>29633</xdr:rowOff>
    </xdr:from>
    <xdr:to>
      <xdr:col>6</xdr:col>
      <xdr:colOff>1536699</xdr:colOff>
      <xdr:row>24</xdr:row>
      <xdr:rowOff>0</xdr:rowOff>
    </xdr:to>
    <xdr:sp macro="" textlink="">
      <xdr:nvSpPr>
        <xdr:cNvPr id="6171" name="Content Placeholder 4">
          <a:extLst>
            <a:ext uri="{FF2B5EF4-FFF2-40B4-BE49-F238E27FC236}">
              <a16:creationId xmlns:a16="http://schemas.microsoft.com/office/drawing/2014/main" id="{00000000-0008-0000-0D00-00001B180000}"/>
            </a:ext>
          </a:extLst>
        </xdr:cNvPr>
        <xdr:cNvSpPr>
          <a:spLocks/>
        </xdr:cNvSpPr>
      </xdr:nvSpPr>
      <xdr:spPr bwMode="auto">
        <a:xfrm>
          <a:off x="156632" y="29633"/>
          <a:ext cx="10181167" cy="4694767"/>
        </a:xfrm>
        <a:prstGeom prst="rect">
          <a:avLst/>
        </a:prstGeom>
        <a:solidFill>
          <a:srgbClr val="FFFFFF"/>
        </a:solidFill>
        <a:ln w="25400" algn="ctr">
          <a:solidFill>
            <a:srgbClr val="4F81BD"/>
          </a:solidFill>
          <a:miter lim="800000"/>
          <a:headEnd/>
          <a:tailEnd/>
        </a:ln>
      </xdr:spPr>
      <xdr:txBody>
        <a:bodyPr vertOverflow="clip" wrap="square" lIns="91440" tIns="45720" rIns="91440" bIns="45720" anchor="t" upright="1"/>
        <a:lstStyle/>
        <a:p>
          <a:pPr marL="0" indent="0" algn="l" rtl="0">
            <a:defRPr sz="1000"/>
          </a:pPr>
          <a:r>
            <a:rPr lang="it-IT" sz="1800" b="0" i="0" u="none" strike="noStrike" baseline="0">
              <a:solidFill>
                <a:srgbClr val="000000"/>
              </a:solidFill>
              <a:latin typeface="Calibri"/>
            </a:rPr>
            <a:t> </a:t>
          </a:r>
          <a:r>
            <a:rPr lang="it-IT" sz="1800" b="0" i="0" u="none" strike="noStrike" baseline="0">
              <a:solidFill>
                <a:srgbClr val="000000"/>
              </a:solidFill>
              <a:latin typeface="Calibri"/>
              <a:ea typeface="+mn-ea"/>
              <a:cs typeface="+mn-cs"/>
            </a:rPr>
            <a:t>Sia data l’operazione finanziaria {x0, x1}/ {t0, t1} con x0 = -102 euro, x1 = 107euro, t0  =  0, t1  =  140 giorni. Assumendo la durata commerciale dell’anno (360 giorni) e del mese (30 giorni) , in regime di capitalizzazione  esponenziale calcolare relativamente all’operazione</a:t>
          </a:r>
        </a:p>
        <a:p>
          <a:pPr marL="0" indent="0" algn="l" rtl="0">
            <a:defRPr sz="1000"/>
          </a:pPr>
          <a:r>
            <a:rPr lang="it-IT" sz="1800" b="0" i="0" u="none" strike="noStrike" baseline="0">
              <a:solidFill>
                <a:srgbClr val="000000"/>
              </a:solidFill>
              <a:latin typeface="Calibri"/>
              <a:ea typeface="+mn-ea"/>
              <a:cs typeface="+mn-cs"/>
            </a:rPr>
            <a:t>(a) L’intensità istantanea di interesse su base annua;  (anni-1 )                                                                                    </a:t>
          </a:r>
        </a:p>
        <a:p>
          <a:pPr marL="0" indent="0" algn="l" rtl="0">
            <a:defRPr sz="1000"/>
          </a:pPr>
          <a:r>
            <a:rPr lang="it-IT" sz="1800" b="0" i="0" u="none" strike="noStrike" baseline="0">
              <a:solidFill>
                <a:srgbClr val="000000"/>
              </a:solidFill>
              <a:latin typeface="Calibri"/>
              <a:ea typeface="+mn-ea"/>
              <a:cs typeface="+mn-cs"/>
            </a:rPr>
            <a:t>(b) Il tasso semestrale di interesse;   (%)                                                      </a:t>
          </a:r>
        </a:p>
        <a:p>
          <a:pPr marL="0" indent="0" algn="l" rtl="0">
            <a:defRPr sz="1000"/>
          </a:pPr>
          <a:r>
            <a:rPr lang="it-IT" sz="1800" b="0" i="0" u="none" strike="noStrike" baseline="0">
              <a:solidFill>
                <a:srgbClr val="000000"/>
              </a:solidFill>
              <a:latin typeface="Calibri"/>
              <a:ea typeface="+mn-ea"/>
              <a:cs typeface="+mn-cs"/>
            </a:rPr>
            <a:t>(c)Il tasso mensile di interesse    (%)</a:t>
          </a:r>
        </a:p>
        <a:p>
          <a:pPr marL="0" indent="0" algn="l" rtl="0">
            <a:defRPr sz="1000"/>
          </a:pPr>
          <a:r>
            <a:rPr lang="it-IT" sz="1800" b="0" i="0" u="none" strike="noStrike" baseline="0">
              <a:solidFill>
                <a:srgbClr val="000000"/>
              </a:solidFill>
              <a:latin typeface="Calibri"/>
              <a:ea typeface="+mn-ea"/>
              <a:cs typeface="+mn-cs"/>
            </a:rPr>
            <a:t>In regime di capitalizzazione lineare calcolare relativamente all’operazione:</a:t>
          </a:r>
        </a:p>
        <a:p>
          <a:pPr marL="0" indent="0" algn="l" rtl="0">
            <a:defRPr sz="1000"/>
          </a:pPr>
          <a:r>
            <a:rPr lang="it-IT" sz="1800" b="0" i="0" u="none" strike="noStrike" baseline="0">
              <a:solidFill>
                <a:srgbClr val="000000"/>
              </a:solidFill>
              <a:latin typeface="Calibri"/>
              <a:ea typeface="+mn-ea"/>
              <a:cs typeface="+mn-cs"/>
            </a:rPr>
            <a:t>(d) Il tasso annuo di interesse  (%)</a:t>
          </a:r>
        </a:p>
        <a:p>
          <a:pPr marL="0" indent="0" algn="l" rtl="0">
            <a:defRPr sz="1000"/>
          </a:pPr>
          <a:r>
            <a:rPr lang="it-IT" sz="1800" b="0" i="0" u="none" strike="noStrike" baseline="0">
              <a:solidFill>
                <a:srgbClr val="000000"/>
              </a:solidFill>
              <a:latin typeface="Calibri"/>
              <a:ea typeface="+mn-ea"/>
              <a:cs typeface="+mn-cs"/>
            </a:rPr>
            <a:t>(e) il tasso semestrale di interesse  (%)</a:t>
          </a:r>
        </a:p>
        <a:p>
          <a:pPr marL="0" indent="0" algn="l" rtl="0">
            <a:defRPr sz="1000"/>
          </a:pPr>
          <a:endParaRPr lang="it-IT" sz="1800" b="0" i="0" u="none" strike="noStrike" baseline="0">
            <a:solidFill>
              <a:srgbClr val="000000"/>
            </a:solidFill>
            <a:latin typeface="Calibri"/>
            <a:ea typeface="+mn-ea"/>
            <a:cs typeface="+mn-cs"/>
          </a:endParaRPr>
        </a:p>
        <a:p>
          <a:pPr marL="0" indent="0" algn="l" rtl="0">
            <a:defRPr sz="1000"/>
          </a:pPr>
          <a:r>
            <a:rPr lang="it-IT" sz="1800" b="0" i="0" u="none" strike="noStrike" baseline="0">
              <a:solidFill>
                <a:srgbClr val="000000"/>
              </a:solidFill>
              <a:latin typeface="Calibri"/>
              <a:ea typeface="+mn-ea"/>
              <a:cs typeface="+mn-cs"/>
            </a:rPr>
            <a:t>Si supponga di aggiungere all’operazione un importo x2 =  50 euro al tempo t2 =  180 giorni. Determinare l’importo x3 che bisogna aggiungere al tempo t3 = 210 giorni affinché l’operazione {x0,  x1,  x2,  x3}/ {t0, t1, t2, t3}  sia ancora equa secondo la legge di capitalizzazione esponenziale allo stesso tasso dell’operazione di partenza</a:t>
          </a:r>
        </a:p>
        <a:p>
          <a:pPr marL="0" indent="0" algn="l" rtl="0">
            <a:defRPr sz="1000"/>
          </a:pPr>
          <a:r>
            <a:rPr lang="it-IT" sz="1800" b="0" i="0" u="none" strike="noStrike" baseline="0">
              <a:solidFill>
                <a:srgbClr val="000000"/>
              </a:solidFill>
              <a:latin typeface="Calibri"/>
              <a:ea typeface="+mn-ea"/>
              <a:cs typeface="+mn-cs"/>
            </a:rPr>
            <a:t>(f) Importo da aggiungere x3</a:t>
          </a:r>
        </a:p>
        <a:p>
          <a:pPr algn="l" rtl="0">
            <a:defRPr sz="1000"/>
          </a:pPr>
          <a:endParaRPr lang="it-IT" sz="1600" b="0" i="0" u="none" strike="noStrike" baseline="0">
            <a:solidFill>
              <a:srgbClr val="000000"/>
            </a:solidFill>
            <a:latin typeface="Calibri"/>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247650</xdr:colOff>
      <xdr:row>0</xdr:row>
      <xdr:rowOff>190500</xdr:rowOff>
    </xdr:from>
    <xdr:to>
      <xdr:col>9</xdr:col>
      <xdr:colOff>342900</xdr:colOff>
      <xdr:row>14</xdr:row>
      <xdr:rowOff>190500</xdr:rowOff>
    </xdr:to>
    <xdr:sp macro="" textlink="">
      <xdr:nvSpPr>
        <xdr:cNvPr id="8202" name="Content Placeholder 4">
          <a:extLst>
            <a:ext uri="{FF2B5EF4-FFF2-40B4-BE49-F238E27FC236}">
              <a16:creationId xmlns:a16="http://schemas.microsoft.com/office/drawing/2014/main" id="{00000000-0008-0000-0F00-00000A200000}"/>
            </a:ext>
          </a:extLst>
        </xdr:cNvPr>
        <xdr:cNvSpPr>
          <a:spLocks/>
        </xdr:cNvSpPr>
      </xdr:nvSpPr>
      <xdr:spPr bwMode="auto">
        <a:xfrm>
          <a:off x="247650" y="190500"/>
          <a:ext cx="9353550" cy="3333750"/>
        </a:xfrm>
        <a:prstGeom prst="rect">
          <a:avLst/>
        </a:prstGeom>
        <a:solidFill>
          <a:srgbClr val="FFFFFF"/>
        </a:solidFill>
        <a:ln w="25400" algn="ctr">
          <a:solidFill>
            <a:srgbClr val="4F81BD"/>
          </a:solidFill>
          <a:miter lim="800000"/>
          <a:headEnd/>
          <a:tailEnd/>
        </a:ln>
      </xdr:spPr>
      <xdr:txBody>
        <a:bodyPr vertOverflow="clip" wrap="square" lIns="91440" tIns="45720" rIns="91440" bIns="45720" anchor="t" upright="1"/>
        <a:lstStyle/>
        <a:p>
          <a:pPr algn="l" rtl="0">
            <a:defRPr sz="1000"/>
          </a:pPr>
          <a:r>
            <a:rPr lang="it-IT" sz="1600" b="0" i="0" u="none" strike="noStrike" baseline="0">
              <a:solidFill>
                <a:srgbClr val="000000"/>
              </a:solidFill>
              <a:latin typeface="Calibri"/>
            </a:rPr>
            <a:t>Sia data una operazione finanziaria consistente nell’investire in t</a:t>
          </a:r>
          <a:r>
            <a:rPr lang="it-IT" sz="1600" b="0" i="0" u="none" strike="noStrike" baseline="-25000">
              <a:solidFill>
                <a:srgbClr val="000000"/>
              </a:solidFill>
              <a:latin typeface="Calibri"/>
            </a:rPr>
            <a:t>0</a:t>
          </a:r>
          <a:r>
            <a:rPr lang="it-IT" sz="1600" b="0" i="0" u="none" strike="noStrike" baseline="0">
              <a:solidFill>
                <a:srgbClr val="000000"/>
              </a:solidFill>
              <a:latin typeface="Calibri"/>
            </a:rPr>
            <a:t>= 0 un capitale di W(t</a:t>
          </a:r>
          <a:r>
            <a:rPr lang="it-IT" sz="1600" b="0" i="0" u="none" strike="noStrike" baseline="-25000">
              <a:solidFill>
                <a:srgbClr val="000000"/>
              </a:solidFill>
              <a:latin typeface="Calibri"/>
            </a:rPr>
            <a:t>0</a:t>
          </a:r>
          <a:r>
            <a:rPr lang="it-IT" sz="1600" b="0" i="0" u="none" strike="noStrike" baseline="0">
              <a:solidFill>
                <a:srgbClr val="000000"/>
              </a:solidFill>
              <a:latin typeface="Calibri"/>
            </a:rPr>
            <a:t>)= x euro a tre anni e mezzo (t</a:t>
          </a:r>
          <a:r>
            <a:rPr lang="it-IT" sz="1600" b="0" i="0" u="none" strike="noStrike" baseline="-25000">
              <a:solidFill>
                <a:srgbClr val="000000"/>
              </a:solidFill>
              <a:latin typeface="Calibri"/>
            </a:rPr>
            <a:t>1</a:t>
          </a:r>
          <a:r>
            <a:rPr lang="it-IT" sz="1600" b="0" i="0" u="none" strike="noStrike" baseline="0">
              <a:solidFill>
                <a:srgbClr val="000000"/>
              </a:solidFill>
              <a:latin typeface="Calibri"/>
            </a:rPr>
            <a:t>= 3,5 anni). Sapendo che l’interesse che l’operazione produce è di I(t</a:t>
          </a:r>
          <a:r>
            <a:rPr lang="it-IT" sz="1600" b="0" i="0" u="none" strike="noStrike" baseline="-25000">
              <a:solidFill>
                <a:srgbClr val="000000"/>
              </a:solidFill>
              <a:latin typeface="Calibri"/>
            </a:rPr>
            <a:t>0</a:t>
          </a:r>
          <a:r>
            <a:rPr lang="it-IT" sz="1600" b="0" i="0" u="none" strike="noStrike" baseline="0">
              <a:solidFill>
                <a:srgbClr val="000000"/>
              </a:solidFill>
              <a:latin typeface="Calibri"/>
            </a:rPr>
            <a:t>;t</a:t>
          </a:r>
          <a:r>
            <a:rPr lang="it-IT" sz="1600" b="0" i="0" u="none" strike="noStrike" baseline="-25000">
              <a:solidFill>
                <a:srgbClr val="000000"/>
              </a:solidFill>
              <a:latin typeface="Calibri"/>
            </a:rPr>
            <a:t>1</a:t>
          </a:r>
          <a:r>
            <a:rPr lang="it-IT" sz="1600" b="0" i="0" u="none" strike="noStrike" baseline="0">
              <a:solidFill>
                <a:srgbClr val="000000"/>
              </a:solidFill>
              <a:latin typeface="Calibri"/>
            </a:rPr>
            <a:t>) = 50€, si determini il capitale iniziale W(t</a:t>
          </a:r>
          <a:r>
            <a:rPr lang="it-IT" sz="1600" b="0" i="0" u="none" strike="noStrike" baseline="-25000">
              <a:solidFill>
                <a:srgbClr val="000000"/>
              </a:solidFill>
              <a:latin typeface="Calibri"/>
            </a:rPr>
            <a:t>0</a:t>
          </a:r>
          <a:r>
            <a:rPr lang="it-IT" sz="1600" b="0" i="0" u="none" strike="noStrike" baseline="0">
              <a:solidFill>
                <a:srgbClr val="000000"/>
              </a:solidFill>
              <a:latin typeface="Calibri"/>
            </a:rPr>
            <a:t>) in ognuno dei seguenti casi:</a:t>
          </a:r>
        </a:p>
        <a:p>
          <a:pPr algn="l" rtl="0">
            <a:defRPr sz="1000"/>
          </a:pPr>
          <a:endParaRPr lang="it-IT" sz="1600" b="0" i="0" u="none" strike="noStrike" baseline="0">
            <a:solidFill>
              <a:srgbClr val="000000"/>
            </a:solidFill>
            <a:latin typeface="Calibri"/>
          </a:endParaRPr>
        </a:p>
        <a:p>
          <a:pPr algn="l" rtl="0">
            <a:defRPr sz="1000"/>
          </a:pPr>
          <a:r>
            <a:rPr lang="it-IT" sz="1600" b="0" i="0" u="none" strike="noStrike" baseline="0">
              <a:solidFill>
                <a:srgbClr val="000000"/>
              </a:solidFill>
              <a:latin typeface="Calibri"/>
            </a:rPr>
            <a:t>in regime di capitalizzazione esponenziale</a:t>
          </a:r>
        </a:p>
        <a:p>
          <a:pPr algn="l" rtl="0">
            <a:defRPr sz="1000"/>
          </a:pPr>
          <a:r>
            <a:rPr lang="it-IT" sz="1600" b="0" i="0" u="none" strike="noStrike" baseline="0">
              <a:solidFill>
                <a:srgbClr val="000000"/>
              </a:solidFill>
              <a:latin typeface="Calibri"/>
            </a:rPr>
            <a:t>(a) al tasso semestrale di interesse del 5,5%</a:t>
          </a:r>
        </a:p>
        <a:p>
          <a:pPr algn="l" rtl="0">
            <a:defRPr sz="1000"/>
          </a:pPr>
          <a:r>
            <a:rPr lang="it-IT" sz="1600" b="0" i="0" u="none" strike="noStrike" baseline="0">
              <a:solidFill>
                <a:srgbClr val="000000"/>
              </a:solidFill>
              <a:latin typeface="Calibri"/>
            </a:rPr>
            <a:t>(b) al tasso annuo di interesse del 12%</a:t>
          </a:r>
        </a:p>
        <a:p>
          <a:pPr algn="l" rtl="0">
            <a:defRPr sz="1000"/>
          </a:pPr>
          <a:r>
            <a:rPr lang="it-IT" sz="1600" b="0" i="0" u="none" strike="noStrike" baseline="0">
              <a:solidFill>
                <a:srgbClr val="000000"/>
              </a:solidFill>
              <a:latin typeface="Calibri"/>
            </a:rPr>
            <a:t>(c) secondo una legge di intensità  = 0,11 anni^−1</a:t>
          </a:r>
        </a:p>
        <a:p>
          <a:pPr algn="l" rtl="0">
            <a:defRPr sz="1000"/>
          </a:pPr>
          <a:endParaRPr lang="it-IT" sz="1600" b="0" i="0" u="none" strike="noStrike" baseline="0">
            <a:solidFill>
              <a:srgbClr val="000000"/>
            </a:solidFill>
            <a:latin typeface="Calibri"/>
          </a:endParaRPr>
        </a:p>
        <a:p>
          <a:pPr algn="l" rtl="0">
            <a:defRPr sz="1000"/>
          </a:pPr>
          <a:r>
            <a:rPr lang="it-IT" sz="1600" b="0" i="0" u="none" strike="noStrike" baseline="0">
              <a:solidFill>
                <a:srgbClr val="000000"/>
              </a:solidFill>
              <a:latin typeface="Calibri"/>
            </a:rPr>
            <a:t>in regime di capitalizzazione lineare</a:t>
          </a:r>
        </a:p>
        <a:p>
          <a:pPr algn="l" rtl="0">
            <a:defRPr sz="1000"/>
          </a:pPr>
          <a:r>
            <a:rPr lang="it-IT" sz="1600" b="0" i="0" u="none" strike="noStrike" baseline="0">
              <a:solidFill>
                <a:srgbClr val="000000"/>
              </a:solidFill>
              <a:latin typeface="Calibri"/>
            </a:rPr>
            <a:t>(d) al tasso semestrale di interesse del 6%</a:t>
          </a:r>
        </a:p>
        <a:p>
          <a:pPr algn="l" rtl="0">
            <a:defRPr sz="1000"/>
          </a:pPr>
          <a:r>
            <a:rPr lang="it-IT" sz="1600" b="0" i="0" u="none" strike="noStrike" baseline="0">
              <a:solidFill>
                <a:srgbClr val="000000"/>
              </a:solidFill>
              <a:latin typeface="Calibri"/>
            </a:rPr>
            <a:t>(e) al tasso annuo di interesse dell’11,5%</a:t>
          </a:r>
        </a:p>
        <a:p>
          <a:pPr algn="l" rtl="0">
            <a:defRPr sz="1000"/>
          </a:pPr>
          <a:endParaRPr lang="it-IT" sz="1600" b="0" i="0" u="none" strike="noStrike" baseline="0">
            <a:solidFill>
              <a:srgbClr val="000000"/>
            </a:solidFill>
            <a:latin typeface="Calibri"/>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295275</xdr:colOff>
      <xdr:row>1</xdr:row>
      <xdr:rowOff>0</xdr:rowOff>
    </xdr:from>
    <xdr:to>
      <xdr:col>16</xdr:col>
      <xdr:colOff>466725</xdr:colOff>
      <xdr:row>15</xdr:row>
      <xdr:rowOff>152400</xdr:rowOff>
    </xdr:to>
    <xdr:sp macro="" textlink="">
      <xdr:nvSpPr>
        <xdr:cNvPr id="2" name="Text Box 2">
          <a:extLst>
            <a:ext uri="{FF2B5EF4-FFF2-40B4-BE49-F238E27FC236}">
              <a16:creationId xmlns:a16="http://schemas.microsoft.com/office/drawing/2014/main" id="{00000000-0008-0000-1100-000002000000}"/>
            </a:ext>
          </a:extLst>
        </xdr:cNvPr>
        <xdr:cNvSpPr txBox="1">
          <a:spLocks noChangeArrowheads="1"/>
        </xdr:cNvSpPr>
      </xdr:nvSpPr>
      <xdr:spPr bwMode="auto">
        <a:xfrm>
          <a:off x="295275" y="190500"/>
          <a:ext cx="9925050" cy="2819400"/>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it-IT" sz="1600" b="0" i="0" u="none" strike="noStrike" baseline="0">
              <a:solidFill>
                <a:srgbClr val="000000"/>
              </a:solidFill>
              <a:latin typeface="Calibri"/>
            </a:rPr>
            <a:t>Si consideri al tempo t = 0 l'operazione  finanziaria di acquisto di un titolo a cedola  fissa trimestrale, con durata 10</a:t>
          </a:r>
        </a:p>
        <a:p>
          <a:pPr algn="l" rtl="0">
            <a:defRPr sz="1000"/>
          </a:pPr>
          <a:r>
            <a:rPr lang="it-IT" sz="1600" b="0" i="0" u="none" strike="noStrike" baseline="0">
              <a:solidFill>
                <a:srgbClr val="000000"/>
              </a:solidFill>
              <a:latin typeface="Calibri"/>
            </a:rPr>
            <a:t>anni, nominale 2 000 euro e quotato alla pari. Si assuma che il tasso nominale annuo sia il 4%: si calcoli il tasso interno di rendimento i* del titolo e lo si esprima in forma percentuale e su base annua.</a:t>
          </a:r>
        </a:p>
        <a:p>
          <a:pPr algn="l" rtl="0">
            <a:defRPr sz="1000"/>
          </a:pPr>
          <a:r>
            <a:rPr lang="it-IT" sz="1600" b="0" i="0" u="none" strike="noStrike" baseline="0">
              <a:solidFill>
                <a:srgbClr val="000000"/>
              </a:solidFill>
              <a:latin typeface="Calibri"/>
            </a:rPr>
            <a:t>Si assuma invece di volere che il tasso interno di rendimento risulti i'</a:t>
          </a:r>
          <a:r>
            <a:rPr lang="it-IT" sz="1600" b="0" i="0" u="none" strike="noStrike" baseline="-25000">
              <a:solidFill>
                <a:srgbClr val="000000"/>
              </a:solidFill>
              <a:latin typeface="Calibri"/>
            </a:rPr>
            <a:t>*</a:t>
          </a:r>
          <a:r>
            <a:rPr lang="it-IT" sz="1600" b="0" i="0" u="none" strike="noStrike" baseline="0">
              <a:solidFill>
                <a:srgbClr val="000000"/>
              </a:solidFill>
              <a:latin typeface="Calibri"/>
            </a:rPr>
            <a:t>= 3% in base annua: che importo deve avere la cedola I affinchè il t.i.r. risulti quello richiesto?</a:t>
          </a:r>
        </a:p>
        <a:p>
          <a:pPr algn="l" rtl="0">
            <a:defRPr sz="1000"/>
          </a:pPr>
          <a:r>
            <a:rPr lang="it-IT" sz="1600" b="0" i="0" u="none" strike="noStrike" baseline="0">
              <a:solidFill>
                <a:srgbClr val="000000"/>
              </a:solidFill>
              <a:latin typeface="Calibri"/>
            </a:rPr>
            <a:t>Si calcoli infine al tempo t = 2 mesi e secondo la legge esponenziale di tasso annuo i'</a:t>
          </a:r>
          <a:r>
            <a:rPr lang="it-IT" sz="1600" b="0" i="0" u="none" strike="noStrike" baseline="-25000">
              <a:solidFill>
                <a:srgbClr val="000000"/>
              </a:solidFill>
              <a:latin typeface="Calibri"/>
            </a:rPr>
            <a:t>*</a:t>
          </a:r>
          <a:r>
            <a:rPr lang="it-IT" sz="1600" b="0" i="0" u="none" strike="noStrike" baseline="0">
              <a:solidFill>
                <a:srgbClr val="000000"/>
              </a:solidFill>
              <a:latin typeface="Calibri"/>
            </a:rPr>
            <a:t> il valore W dell'operazione  finanziaria di acquisto del titolo con la cedola I appena calcolata e lo si scomponga in valore montante M e valore residuo V .</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77787</xdr:colOff>
      <xdr:row>0</xdr:row>
      <xdr:rowOff>76200</xdr:rowOff>
    </xdr:from>
    <xdr:to>
      <xdr:col>16</xdr:col>
      <xdr:colOff>220662</xdr:colOff>
      <xdr:row>18</xdr:row>
      <xdr:rowOff>123825</xdr:rowOff>
    </xdr:to>
    <xdr:sp macro="" textlink="">
      <xdr:nvSpPr>
        <xdr:cNvPr id="2" name="Content Placeholder 4">
          <a:extLst>
            <a:ext uri="{FF2B5EF4-FFF2-40B4-BE49-F238E27FC236}">
              <a16:creationId xmlns:a16="http://schemas.microsoft.com/office/drawing/2014/main" id="{00000000-0008-0000-1200-000002000000}"/>
            </a:ext>
          </a:extLst>
        </xdr:cNvPr>
        <xdr:cNvSpPr>
          <a:spLocks/>
        </xdr:cNvSpPr>
      </xdr:nvSpPr>
      <xdr:spPr bwMode="auto">
        <a:xfrm>
          <a:off x="77787" y="76200"/>
          <a:ext cx="8820150" cy="2790825"/>
        </a:xfrm>
        <a:prstGeom prst="rect">
          <a:avLst/>
        </a:prstGeom>
        <a:solidFill>
          <a:srgbClr val="FFFFFF"/>
        </a:solidFill>
        <a:ln w="25400" algn="ctr">
          <a:solidFill>
            <a:srgbClr val="4F81BD"/>
          </a:solidFill>
          <a:miter lim="800000"/>
          <a:headEnd/>
          <a:tailEnd/>
        </a:ln>
      </xdr:spPr>
      <xdr:txBody>
        <a:bodyPr vertOverflow="clip" wrap="square" lIns="91440" tIns="45720" rIns="91440" bIns="45720" anchor="t" upright="1"/>
        <a:lstStyle/>
        <a:p>
          <a:pPr algn="l" rtl="0">
            <a:defRPr sz="1000"/>
          </a:pPr>
          <a:r>
            <a:rPr lang="it-IT" sz="1400" b="0" i="0" u="none" strike="noStrike" baseline="0">
              <a:solidFill>
                <a:srgbClr val="000000"/>
              </a:solidFill>
              <a:latin typeface="Calibri"/>
            </a:rPr>
            <a:t>Si consideri in t</a:t>
          </a:r>
          <a:r>
            <a:rPr lang="it-IT" sz="1400" b="0" i="0" u="none" strike="noStrike" baseline="-25000">
              <a:solidFill>
                <a:srgbClr val="000000"/>
              </a:solidFill>
              <a:latin typeface="Calibri"/>
            </a:rPr>
            <a:t>0</a:t>
          </a:r>
          <a:r>
            <a:rPr lang="it-IT" sz="1400" b="0" i="0" u="none" strike="noStrike" baseline="0">
              <a:solidFill>
                <a:srgbClr val="000000"/>
              </a:solidFill>
              <a:latin typeface="Calibri"/>
            </a:rPr>
            <a:t> = 0 l’acquisto di un titolo a cedola fissa con vita a scadenza di 5 anni (S = 5 anni) che paga semestralmente una cedola pari a 2,375 € e rimborsa a scadenza il capitale iniziale di 100€. Il tasso d’interesse annuale è pari al 4,75%. Calcolare il valore attuale dell’operazione:</a:t>
          </a:r>
        </a:p>
        <a:p>
          <a:pPr algn="l" rtl="0">
            <a:defRPr sz="1000"/>
          </a:pPr>
          <a:endParaRPr lang="it-IT" sz="1400" b="0" i="0" u="none" strike="noStrike" baseline="0">
            <a:solidFill>
              <a:srgbClr val="000000"/>
            </a:solidFill>
            <a:latin typeface="Calibri"/>
          </a:endParaRPr>
        </a:p>
        <a:p>
          <a:pPr algn="l" rtl="0">
            <a:defRPr sz="1000"/>
          </a:pPr>
          <a:r>
            <a:rPr lang="it-IT" sz="1400" b="0" i="0" u="none" strike="noStrike" baseline="0">
              <a:solidFill>
                <a:srgbClr val="000000"/>
              </a:solidFill>
              <a:latin typeface="Arial"/>
              <a:cs typeface="Arial"/>
            </a:rPr>
            <a:t>•</a:t>
          </a:r>
          <a:r>
            <a:rPr lang="it-IT" sz="1400" b="0" i="0" u="none" strike="noStrike" baseline="0">
              <a:solidFill>
                <a:srgbClr val="000000"/>
              </a:solidFill>
              <a:latin typeface="Calibri"/>
            </a:rPr>
            <a:t>In Legge Lineare</a:t>
          </a:r>
        </a:p>
        <a:p>
          <a:pPr algn="l" rtl="0">
            <a:defRPr sz="1000"/>
          </a:pPr>
          <a:r>
            <a:rPr lang="it-IT" sz="1400" b="0" i="0" u="none" strike="noStrike" baseline="0">
              <a:solidFill>
                <a:srgbClr val="000000"/>
              </a:solidFill>
              <a:latin typeface="Arial"/>
              <a:cs typeface="Arial"/>
            </a:rPr>
            <a:t>•</a:t>
          </a:r>
          <a:r>
            <a:rPr lang="it-IT" sz="1400" b="0" i="0" u="none" strike="noStrike" baseline="0">
              <a:solidFill>
                <a:srgbClr val="000000"/>
              </a:solidFill>
              <a:latin typeface="Calibri"/>
            </a:rPr>
            <a:t>In Legge Esponenziale</a:t>
          </a:r>
        </a:p>
        <a:p>
          <a:pPr algn="l" rtl="0">
            <a:defRPr sz="1000"/>
          </a:pPr>
          <a:endParaRPr lang="it-IT" sz="1400" b="0" i="0" u="none" strike="noStrike" baseline="0">
            <a:solidFill>
              <a:srgbClr val="000000"/>
            </a:solidFill>
            <a:latin typeface="Calibri"/>
          </a:endParaRPr>
        </a:p>
        <a:p>
          <a:pPr algn="l" rtl="0">
            <a:defRPr sz="1000"/>
          </a:pPr>
          <a:r>
            <a:rPr lang="it-IT" sz="1400" b="0" i="0" u="none" strike="noStrike" baseline="0">
              <a:solidFill>
                <a:srgbClr val="000000"/>
              </a:solidFill>
              <a:latin typeface="Calibri"/>
            </a:rPr>
            <a:t>Sulla base dei valori attuali determinati nei punti precedenti (che quindi rendono l’operazione equa per costruzione in t</a:t>
          </a:r>
          <a:r>
            <a:rPr lang="it-IT" sz="1400" b="0" i="0" u="none" strike="noStrike" baseline="-25000">
              <a:solidFill>
                <a:srgbClr val="000000"/>
              </a:solidFill>
              <a:latin typeface="Calibri"/>
            </a:rPr>
            <a:t>0</a:t>
          </a:r>
          <a:r>
            <a:rPr lang="it-IT" sz="1400" b="0" i="0" u="none" strike="noStrike" baseline="0">
              <a:solidFill>
                <a:srgbClr val="000000"/>
              </a:solidFill>
              <a:latin typeface="Calibri"/>
            </a:rPr>
            <a:t> = 0), verificare per ciascuna legge, nei periodi t</a:t>
          </a:r>
          <a:r>
            <a:rPr lang="it-IT" sz="1400" b="0" i="0" u="none" strike="noStrike" baseline="-25000">
              <a:solidFill>
                <a:srgbClr val="000000"/>
              </a:solidFill>
              <a:latin typeface="Calibri"/>
            </a:rPr>
            <a:t>k</a:t>
          </a:r>
          <a:r>
            <a:rPr lang="it-IT" sz="1400" b="0" i="0" u="none" strike="noStrike" baseline="0">
              <a:solidFill>
                <a:srgbClr val="000000"/>
              </a:solidFill>
              <a:latin typeface="Calibri"/>
            </a:rPr>
            <a:t> = 2 anni e t</a:t>
          </a:r>
          <a:r>
            <a:rPr lang="it-IT" sz="1400" b="0" i="0" u="none" strike="noStrike" baseline="-25000">
              <a:solidFill>
                <a:srgbClr val="000000"/>
              </a:solidFill>
              <a:latin typeface="Calibri"/>
            </a:rPr>
            <a:t>k</a:t>
          </a:r>
          <a:r>
            <a:rPr lang="it-IT" sz="1400" b="0" i="0" u="none" strike="noStrike" baseline="0">
              <a:solidFill>
                <a:srgbClr val="000000"/>
              </a:solidFill>
              <a:latin typeface="Calibri"/>
            </a:rPr>
            <a:t> = 5 anni, la validità della proprietà di equità.</a:t>
          </a:r>
        </a:p>
        <a:p>
          <a:pPr algn="l" rtl="0">
            <a:defRPr sz="1000"/>
          </a:pPr>
          <a:endParaRPr lang="it-IT" sz="1400" b="0" i="0" u="none" strike="noStrike" baseline="0">
            <a:solidFill>
              <a:srgbClr val="000000"/>
            </a:solidFill>
            <a:latin typeface="Calibri"/>
          </a:endParaRPr>
        </a:p>
        <a:p>
          <a:pPr algn="l" rtl="0">
            <a:defRPr sz="1000"/>
          </a:pPr>
          <a:endParaRPr lang="it-IT" sz="1400" b="0" i="0" u="none" strike="noStrike" baseline="0">
            <a:solidFill>
              <a:srgbClr val="000000"/>
            </a:solidFill>
            <a:latin typeface="Calibri"/>
          </a:endParaRPr>
        </a:p>
        <a:p>
          <a:pPr algn="l" rtl="0">
            <a:defRPr sz="1000"/>
          </a:pPr>
          <a:endParaRPr lang="it-IT" sz="1400" b="0" i="0" u="none" strike="noStrike" baseline="0">
            <a:solidFill>
              <a:srgbClr val="000000"/>
            </a:solidFill>
            <a:latin typeface="Calibri"/>
          </a:endParaRPr>
        </a:p>
        <a:p>
          <a:pPr algn="l" rtl="0">
            <a:defRPr sz="1000"/>
          </a:pPr>
          <a:r>
            <a:rPr lang="it-IT" sz="1400" b="0" i="0" u="none" strike="noStrike" baseline="0">
              <a:solidFill>
                <a:srgbClr val="000000"/>
              </a:solidFill>
              <a:latin typeface="Calibri"/>
            </a:rPr>
            <a:t>	</a:t>
          </a:r>
        </a:p>
        <a:p>
          <a:pPr algn="l" rtl="0">
            <a:defRPr sz="1000"/>
          </a:pPr>
          <a:endParaRPr lang="it-IT" sz="1400" b="0" i="0" u="none" strike="noStrike" baseline="0">
            <a:solidFill>
              <a:srgbClr val="000000"/>
            </a:solidFill>
            <a:latin typeface="Calibri"/>
          </a:endParaRPr>
        </a:p>
        <a:p>
          <a:pPr algn="l" rtl="0">
            <a:defRPr sz="1000"/>
          </a:pPr>
          <a:r>
            <a:rPr lang="it-IT" sz="1400" b="0" i="0" u="none" strike="noStrike" baseline="0">
              <a:solidFill>
                <a:srgbClr val="000000"/>
              </a:solidFill>
              <a:latin typeface="Calibri"/>
            </a:rPr>
            <a:t> </a:t>
          </a:r>
        </a:p>
        <a:p>
          <a:pPr algn="l" rtl="0">
            <a:defRPr sz="1000"/>
          </a:pPr>
          <a:endParaRPr lang="it-IT" sz="1400" b="0" i="0" u="none" strike="noStrike" baseline="0">
            <a:solidFill>
              <a:srgbClr val="000000"/>
            </a:solidFill>
            <a:latin typeface="Calibri"/>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257174</xdr:colOff>
      <xdr:row>0</xdr:row>
      <xdr:rowOff>95249</xdr:rowOff>
    </xdr:from>
    <xdr:to>
      <xdr:col>7</xdr:col>
      <xdr:colOff>876299</xdr:colOff>
      <xdr:row>5</xdr:row>
      <xdr:rowOff>104775</xdr:rowOff>
    </xdr:to>
    <xdr:sp macro="" textlink="">
      <xdr:nvSpPr>
        <xdr:cNvPr id="46081" name="Text Box 1">
          <a:extLst>
            <a:ext uri="{FF2B5EF4-FFF2-40B4-BE49-F238E27FC236}">
              <a16:creationId xmlns:a16="http://schemas.microsoft.com/office/drawing/2014/main" id="{00000000-0008-0000-1300-000001B40000}"/>
            </a:ext>
          </a:extLst>
        </xdr:cNvPr>
        <xdr:cNvSpPr txBox="1">
          <a:spLocks noChangeArrowheads="1"/>
        </xdr:cNvSpPr>
      </xdr:nvSpPr>
      <xdr:spPr bwMode="auto">
        <a:xfrm>
          <a:off x="257174" y="95249"/>
          <a:ext cx="8905875" cy="1200151"/>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it-IT" sz="1600" b="0" i="0" u="none" strike="noStrike" baseline="0">
              <a:solidFill>
                <a:srgbClr val="000000"/>
              </a:solidFill>
              <a:latin typeface="Calibri"/>
            </a:rPr>
            <a:t>Data l’operazione finanziaria x = {−350, 600} ai tempi t = {1, 4} mesi, trasformarla in una operazione equa, conformemente alla legge esponenziale con tasso semestrale di interesse i = 5.8%, aggiungendo un importo x</a:t>
          </a:r>
          <a:r>
            <a:rPr lang="it-IT" sz="1600" b="0" i="0" u="none" strike="noStrike" baseline="-25000">
              <a:solidFill>
                <a:srgbClr val="000000"/>
              </a:solidFill>
              <a:latin typeface="Calibri"/>
            </a:rPr>
            <a:t>t</a:t>
          </a:r>
          <a:r>
            <a:rPr lang="it-IT" sz="1600" b="0" i="0" u="none" strike="noStrike" baseline="0">
              <a:solidFill>
                <a:srgbClr val="000000"/>
              </a:solidFill>
              <a:latin typeface="Calibri"/>
            </a:rPr>
            <a:t> al tempo t = 7 mesi.</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361950</xdr:colOff>
      <xdr:row>1</xdr:row>
      <xdr:rowOff>57150</xdr:rowOff>
    </xdr:from>
    <xdr:to>
      <xdr:col>17</xdr:col>
      <xdr:colOff>257175</xdr:colOff>
      <xdr:row>11</xdr:row>
      <xdr:rowOff>76200</xdr:rowOff>
    </xdr:to>
    <xdr:sp macro="" textlink="">
      <xdr:nvSpPr>
        <xdr:cNvPr id="2" name="Text Box 1">
          <a:extLst>
            <a:ext uri="{FF2B5EF4-FFF2-40B4-BE49-F238E27FC236}">
              <a16:creationId xmlns:a16="http://schemas.microsoft.com/office/drawing/2014/main" id="{00000000-0008-0000-1400-000002000000}"/>
            </a:ext>
          </a:extLst>
        </xdr:cNvPr>
        <xdr:cNvSpPr txBox="1">
          <a:spLocks noChangeArrowheads="1"/>
        </xdr:cNvSpPr>
      </xdr:nvSpPr>
      <xdr:spPr bwMode="auto">
        <a:xfrm>
          <a:off x="361950" y="247650"/>
          <a:ext cx="10258425" cy="1924050"/>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it-IT" sz="1600" b="0" i="0" u="none" strike="noStrike" baseline="0">
              <a:solidFill>
                <a:srgbClr val="000000"/>
              </a:solidFill>
              <a:latin typeface="Calibri"/>
            </a:rPr>
            <a:t>Un imprenditore vuole in prestito 10 100 euro, da restituire dopo T</a:t>
          </a:r>
          <a:r>
            <a:rPr lang="it-IT" sz="1600" b="0" i="0" u="none" strike="noStrike" baseline="-25000">
              <a:solidFill>
                <a:srgbClr val="000000"/>
              </a:solidFill>
              <a:latin typeface="Calibri"/>
            </a:rPr>
            <a:t>1</a:t>
          </a:r>
          <a:r>
            <a:rPr lang="it-IT" sz="1600" b="0" i="0" u="none" strike="noStrike" baseline="0">
              <a:solidFill>
                <a:srgbClr val="000000"/>
              </a:solidFill>
              <a:latin typeface="Calibri"/>
            </a:rPr>
            <a:t> = 1 anno e 11 mesi. La banca A  è disposta a</a:t>
          </a:r>
        </a:p>
        <a:p>
          <a:pPr algn="l" rtl="0">
            <a:defRPr sz="1000"/>
          </a:pPr>
          <a:r>
            <a:rPr lang="it-IT" sz="1600" b="0" i="0" u="none" strike="noStrike" baseline="0">
              <a:solidFill>
                <a:srgbClr val="000000"/>
              </a:solidFill>
              <a:latin typeface="Calibri"/>
            </a:rPr>
            <a:t>concederglielo al tasso annuo semplice i</a:t>
          </a:r>
          <a:r>
            <a:rPr lang="it-IT" sz="1600" b="0" i="0" u="none" strike="noStrike" baseline="-25000">
              <a:solidFill>
                <a:srgbClr val="000000"/>
              </a:solidFill>
              <a:latin typeface="Calibri"/>
            </a:rPr>
            <a:t>S</a:t>
          </a:r>
          <a:r>
            <a:rPr lang="it-IT" sz="1600" b="0" i="0" u="none" strike="noStrike" baseline="0">
              <a:solidFill>
                <a:srgbClr val="000000"/>
              </a:solidFill>
              <a:latin typeface="Calibri"/>
            </a:rPr>
            <a:t> = 7.1%. Si determini l'interesse I che l'imprenditore dovrà pagare alla scadenza e il tasso interno di rendimento i</a:t>
          </a:r>
          <a:r>
            <a:rPr lang="it-IT" sz="1600" b="0" i="0" u="none" strike="noStrike" baseline="-25000">
              <a:solidFill>
                <a:srgbClr val="000000"/>
              </a:solidFill>
              <a:latin typeface="Calibri"/>
            </a:rPr>
            <a:t>1</a:t>
          </a:r>
          <a:r>
            <a:rPr lang="it-IT" sz="1600" b="0" i="0" u="none" strike="noStrike" baseline="0">
              <a:solidFill>
                <a:srgbClr val="000000"/>
              </a:solidFill>
              <a:latin typeface="Calibri"/>
            </a:rPr>
            <a:t> in base annua dell'operazione.</a:t>
          </a:r>
        </a:p>
        <a:p>
          <a:pPr algn="l" rtl="0">
            <a:defRPr sz="1000"/>
          </a:pPr>
          <a:r>
            <a:rPr lang="it-IT" sz="1600" b="0" i="0" u="none" strike="noStrike" baseline="0">
              <a:solidFill>
                <a:srgbClr val="000000"/>
              </a:solidFill>
              <a:latin typeface="Calibri"/>
            </a:rPr>
            <a:t>La banca B gli propone in prestito la stessa somma, con lo stesso interesse, con durata dell'operazione T</a:t>
          </a:r>
          <a:r>
            <a:rPr lang="it-IT" sz="1600" b="0" i="0" u="none" strike="noStrike" baseline="-25000">
              <a:solidFill>
                <a:srgbClr val="000000"/>
              </a:solidFill>
              <a:latin typeface="Calibri"/>
            </a:rPr>
            <a:t>2</a:t>
          </a:r>
          <a:r>
            <a:rPr lang="it-IT" sz="1600" b="0" i="0" u="none" strike="noStrike" baseline="0">
              <a:solidFill>
                <a:srgbClr val="000000"/>
              </a:solidFill>
              <a:latin typeface="Calibri"/>
            </a:rPr>
            <a:t> anni e tasso annuo composto i</a:t>
          </a:r>
          <a:r>
            <a:rPr lang="it-IT" sz="1600" b="0" i="0" u="none" strike="noStrike" baseline="-25000">
              <a:solidFill>
                <a:srgbClr val="000000"/>
              </a:solidFill>
              <a:latin typeface="Calibri"/>
            </a:rPr>
            <a:t>C</a:t>
          </a:r>
          <a:r>
            <a:rPr lang="it-IT" sz="1600" b="0" i="0" u="none" strike="noStrike" baseline="0">
              <a:solidFill>
                <a:srgbClr val="000000"/>
              </a:solidFill>
              <a:latin typeface="Calibri"/>
            </a:rPr>
            <a:t> = 7.2%. Si determini T</a:t>
          </a:r>
          <a:r>
            <a:rPr lang="it-IT" sz="1600" b="0" i="0" u="none" strike="noStrike" baseline="-25000">
              <a:solidFill>
                <a:srgbClr val="000000"/>
              </a:solidFill>
              <a:latin typeface="Calibri"/>
            </a:rPr>
            <a:t>2</a:t>
          </a:r>
          <a:r>
            <a:rPr lang="it-IT" sz="1600" b="0" i="0" u="none" strike="noStrike" baseline="0">
              <a:solidFill>
                <a:srgbClr val="000000"/>
              </a:solidFill>
              <a:latin typeface="Calibri"/>
            </a:rPr>
            <a:t> e il tasso interno di rendimento i</a:t>
          </a:r>
          <a:r>
            <a:rPr lang="it-IT" sz="1600" b="0" i="0" u="none" strike="noStrike" baseline="-25000">
              <a:solidFill>
                <a:srgbClr val="000000"/>
              </a:solidFill>
              <a:latin typeface="Calibri"/>
            </a:rPr>
            <a:t>2</a:t>
          </a:r>
          <a:r>
            <a:rPr lang="it-IT" sz="1600" b="0" i="0" u="none" strike="noStrike" baseline="0">
              <a:solidFill>
                <a:srgbClr val="000000"/>
              </a:solidFill>
              <a:latin typeface="Calibri"/>
            </a:rPr>
            <a:t> in base annua di questa seconda operazione.</a:t>
          </a:r>
        </a:p>
        <a:p>
          <a:pPr algn="l" rtl="0">
            <a:defRPr sz="1000"/>
          </a:pPr>
          <a:r>
            <a:rPr lang="it-IT" sz="1600" b="0" i="0" u="none" strike="noStrike" baseline="0">
              <a:solidFill>
                <a:srgbClr val="000000"/>
              </a:solidFill>
              <a:latin typeface="Calibri"/>
            </a:rPr>
            <a:t>A quale delle due banche conviene rivolgersi e per quale motivo? (Motivare, altrimenti la risposta non verrà considerata!)</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28574</xdr:colOff>
      <xdr:row>0</xdr:row>
      <xdr:rowOff>152399</xdr:rowOff>
    </xdr:from>
    <xdr:to>
      <xdr:col>7</xdr:col>
      <xdr:colOff>95250</xdr:colOff>
      <xdr:row>6</xdr:row>
      <xdr:rowOff>38100</xdr:rowOff>
    </xdr:to>
    <xdr:sp macro="" textlink="">
      <xdr:nvSpPr>
        <xdr:cNvPr id="36865" name="Text Box 1">
          <a:extLst>
            <a:ext uri="{FF2B5EF4-FFF2-40B4-BE49-F238E27FC236}">
              <a16:creationId xmlns:a16="http://schemas.microsoft.com/office/drawing/2014/main" id="{00000000-0008-0000-1800-000001900000}"/>
            </a:ext>
          </a:extLst>
        </xdr:cNvPr>
        <xdr:cNvSpPr txBox="1">
          <a:spLocks noChangeArrowheads="1"/>
        </xdr:cNvSpPr>
      </xdr:nvSpPr>
      <xdr:spPr bwMode="auto">
        <a:xfrm>
          <a:off x="295274" y="152399"/>
          <a:ext cx="8086726" cy="1314451"/>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it-IT" sz="1600" b="0" i="0" u="none" strike="noStrike" baseline="0">
              <a:solidFill>
                <a:srgbClr val="000000"/>
              </a:solidFill>
              <a:latin typeface="Calibri"/>
            </a:rPr>
            <a:t>Determinare l’intensità di rendimento a scadenza relativa al periodo (0, 1/2 ) anni per le leggi finanziarie lineare ed esponenziale, assumendo un tasso di interesse annuo pari a i = 2.3 %.</a:t>
          </a:r>
        </a:p>
      </xdr:txBody>
    </xdr:sp>
    <xdr:clientData/>
  </xdr:twoCellAnchor>
  <xdr:oneCellAnchor>
    <xdr:from>
      <xdr:col>1</xdr:col>
      <xdr:colOff>666749</xdr:colOff>
      <xdr:row>11</xdr:row>
      <xdr:rowOff>223837</xdr:rowOff>
    </xdr:from>
    <xdr:ext cx="4752975" cy="555024"/>
    <mc:AlternateContent xmlns:mc="http://schemas.openxmlformats.org/markup-compatibility/2006" xmlns:a14="http://schemas.microsoft.com/office/drawing/2010/main">
      <mc:Choice Requires="a14">
        <xdr:sp macro="" textlink="">
          <xdr:nvSpPr>
            <xdr:cNvPr id="2" name="CasellaDiTesto 1">
              <a:extLst>
                <a:ext uri="{FF2B5EF4-FFF2-40B4-BE49-F238E27FC236}">
                  <a16:creationId xmlns:a16="http://schemas.microsoft.com/office/drawing/2014/main" id="{00000000-0008-0000-1800-000002000000}"/>
                </a:ext>
              </a:extLst>
            </xdr:cNvPr>
            <xdr:cNvSpPr txBox="1"/>
          </xdr:nvSpPr>
          <xdr:spPr>
            <a:xfrm>
              <a:off x="933449" y="2843212"/>
              <a:ext cx="4752975" cy="5550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it-IT" sz="1600" b="0" i="1">
                        <a:latin typeface="Cambria Math"/>
                      </a:rPr>
                      <m:t>h</m:t>
                    </m:r>
                    <m:d>
                      <m:dPr>
                        <m:ctrlPr>
                          <a:rPr lang="it-IT" sz="1600" b="0" i="1">
                            <a:latin typeface="Cambria Math" panose="02040503050406030204" pitchFamily="18" charset="0"/>
                          </a:rPr>
                        </m:ctrlPr>
                      </m:dPr>
                      <m:e>
                        <m:r>
                          <a:rPr lang="it-IT" sz="1600" b="0" i="1">
                            <a:latin typeface="Cambria Math"/>
                          </a:rPr>
                          <m:t>𝑡</m:t>
                        </m:r>
                        <m:r>
                          <a:rPr lang="it-IT" sz="1600" b="0" i="1">
                            <a:latin typeface="Cambria Math"/>
                          </a:rPr>
                          <m:t>,</m:t>
                        </m:r>
                        <m:r>
                          <a:rPr lang="it-IT" sz="1600" b="0" i="1">
                            <a:latin typeface="Cambria Math"/>
                          </a:rPr>
                          <m:t>𝑠</m:t>
                        </m:r>
                      </m:e>
                    </m:d>
                    <m:r>
                      <a:rPr lang="it-IT" sz="1600" b="0" i="1">
                        <a:latin typeface="Cambria Math"/>
                      </a:rPr>
                      <m:t>=</m:t>
                    </m:r>
                    <m:f>
                      <m:fPr>
                        <m:ctrlPr>
                          <a:rPr lang="it-IT" sz="1600" b="0" i="1">
                            <a:latin typeface="Cambria Math" panose="02040503050406030204" pitchFamily="18" charset="0"/>
                          </a:rPr>
                        </m:ctrlPr>
                      </m:fPr>
                      <m:num>
                        <m:r>
                          <a:rPr lang="it-IT" sz="1600" b="0" i="1">
                            <a:latin typeface="Cambria Math"/>
                          </a:rPr>
                          <m:t>1</m:t>
                        </m:r>
                      </m:num>
                      <m:den>
                        <m:r>
                          <a:rPr lang="it-IT" sz="1600" b="0" i="1">
                            <a:latin typeface="Cambria Math"/>
                          </a:rPr>
                          <m:t>𝑠</m:t>
                        </m:r>
                        <m:r>
                          <a:rPr lang="it-IT" sz="1600" b="0" i="1">
                            <a:latin typeface="Cambria Math"/>
                          </a:rPr>
                          <m:t>−</m:t>
                        </m:r>
                        <m:r>
                          <a:rPr lang="it-IT" sz="1600" b="0" i="1">
                            <a:latin typeface="Cambria Math"/>
                          </a:rPr>
                          <m:t>𝑡</m:t>
                        </m:r>
                      </m:den>
                    </m:f>
                    <m:func>
                      <m:funcPr>
                        <m:ctrlPr>
                          <a:rPr lang="it-IT" sz="1600" b="0" i="1">
                            <a:latin typeface="Cambria Math" panose="02040503050406030204" pitchFamily="18" charset="0"/>
                          </a:rPr>
                        </m:ctrlPr>
                      </m:funcPr>
                      <m:fName>
                        <m:r>
                          <m:rPr>
                            <m:sty m:val="p"/>
                          </m:rPr>
                          <a:rPr lang="it-IT" sz="1600" b="0" i="0">
                            <a:latin typeface="Cambria Math"/>
                          </a:rPr>
                          <m:t>log</m:t>
                        </m:r>
                      </m:fName>
                      <m:e>
                        <m:r>
                          <a:rPr lang="it-IT" sz="1600" b="0" i="1">
                            <a:latin typeface="Cambria Math"/>
                          </a:rPr>
                          <m:t>𝑚</m:t>
                        </m:r>
                        <m:d>
                          <m:dPr>
                            <m:ctrlPr>
                              <a:rPr lang="it-IT" sz="1600" b="0" i="1">
                                <a:latin typeface="Cambria Math" panose="02040503050406030204" pitchFamily="18" charset="0"/>
                              </a:rPr>
                            </m:ctrlPr>
                          </m:dPr>
                          <m:e>
                            <m:r>
                              <a:rPr lang="it-IT" sz="1600" b="0" i="1">
                                <a:latin typeface="Cambria Math"/>
                              </a:rPr>
                              <m:t>𝑡</m:t>
                            </m:r>
                            <m:r>
                              <a:rPr lang="it-IT" sz="1600" b="0" i="1">
                                <a:latin typeface="Cambria Math"/>
                              </a:rPr>
                              <m:t>,</m:t>
                            </m:r>
                            <m:r>
                              <a:rPr lang="it-IT" sz="1600" b="0" i="1">
                                <a:latin typeface="Cambria Math"/>
                              </a:rPr>
                              <m:t>𝑠</m:t>
                            </m:r>
                          </m:e>
                        </m:d>
                        <m:r>
                          <a:rPr lang="it-IT" sz="1600" b="0" i="1">
                            <a:latin typeface="Cambria Math"/>
                          </a:rPr>
                          <m:t>=−</m:t>
                        </m:r>
                      </m:e>
                    </m:func>
                    <m:f>
                      <m:fPr>
                        <m:ctrlPr>
                          <a:rPr lang="it-IT" sz="1600" b="0" i="1">
                            <a:solidFill>
                              <a:schemeClr val="tx1"/>
                            </a:solidFill>
                            <a:effectLst/>
                            <a:latin typeface="Cambria Math" panose="02040503050406030204" pitchFamily="18" charset="0"/>
                            <a:ea typeface="+mn-ea"/>
                            <a:cs typeface="+mn-cs"/>
                          </a:rPr>
                        </m:ctrlPr>
                      </m:fPr>
                      <m:num>
                        <m:r>
                          <a:rPr lang="it-IT" sz="1600" b="0" i="1">
                            <a:solidFill>
                              <a:schemeClr val="tx1"/>
                            </a:solidFill>
                            <a:effectLst/>
                            <a:latin typeface="Cambria Math"/>
                            <a:ea typeface="+mn-ea"/>
                            <a:cs typeface="+mn-cs"/>
                          </a:rPr>
                          <m:t>1</m:t>
                        </m:r>
                      </m:num>
                      <m:den>
                        <m:r>
                          <a:rPr lang="it-IT" sz="1600" b="0" i="1">
                            <a:solidFill>
                              <a:schemeClr val="tx1"/>
                            </a:solidFill>
                            <a:effectLst/>
                            <a:latin typeface="Cambria Math"/>
                            <a:ea typeface="+mn-ea"/>
                            <a:cs typeface="+mn-cs"/>
                          </a:rPr>
                          <m:t>𝑠</m:t>
                        </m:r>
                        <m:r>
                          <a:rPr lang="it-IT" sz="1600" b="0" i="1">
                            <a:solidFill>
                              <a:schemeClr val="tx1"/>
                            </a:solidFill>
                            <a:effectLst/>
                            <a:latin typeface="Cambria Math"/>
                            <a:ea typeface="+mn-ea"/>
                            <a:cs typeface="+mn-cs"/>
                          </a:rPr>
                          <m:t>−</m:t>
                        </m:r>
                        <m:r>
                          <a:rPr lang="it-IT" sz="1600" b="0" i="1">
                            <a:solidFill>
                              <a:schemeClr val="tx1"/>
                            </a:solidFill>
                            <a:effectLst/>
                            <a:latin typeface="Cambria Math"/>
                            <a:ea typeface="+mn-ea"/>
                            <a:cs typeface="+mn-cs"/>
                          </a:rPr>
                          <m:t>𝑡</m:t>
                        </m:r>
                      </m:den>
                    </m:f>
                    <m:func>
                      <m:funcPr>
                        <m:ctrlPr>
                          <a:rPr lang="it-IT" sz="1600" b="0" i="1">
                            <a:solidFill>
                              <a:schemeClr val="tx1"/>
                            </a:solidFill>
                            <a:effectLst/>
                            <a:latin typeface="Cambria Math" panose="02040503050406030204" pitchFamily="18" charset="0"/>
                            <a:ea typeface="+mn-ea"/>
                            <a:cs typeface="+mn-cs"/>
                          </a:rPr>
                        </m:ctrlPr>
                      </m:funcPr>
                      <m:fName>
                        <m:r>
                          <m:rPr>
                            <m:sty m:val="p"/>
                          </m:rPr>
                          <a:rPr lang="it-IT" sz="1600" b="0" i="0">
                            <a:solidFill>
                              <a:schemeClr val="tx1"/>
                            </a:solidFill>
                            <a:effectLst/>
                            <a:latin typeface="Cambria Math"/>
                            <a:ea typeface="+mn-ea"/>
                            <a:cs typeface="+mn-cs"/>
                          </a:rPr>
                          <m:t>log</m:t>
                        </m:r>
                      </m:fName>
                      <m:e>
                        <m:r>
                          <a:rPr lang="it-IT" sz="1600" b="0" i="1">
                            <a:solidFill>
                              <a:schemeClr val="tx1"/>
                            </a:solidFill>
                            <a:effectLst/>
                            <a:latin typeface="Cambria Math"/>
                            <a:ea typeface="+mn-ea"/>
                            <a:cs typeface="+mn-cs"/>
                          </a:rPr>
                          <m:t>𝑣</m:t>
                        </m:r>
                        <m:r>
                          <a:rPr lang="it-IT" sz="1600" b="0" i="1">
                            <a:solidFill>
                              <a:schemeClr val="tx1"/>
                            </a:solidFill>
                            <a:effectLst/>
                            <a:latin typeface="Cambria Math"/>
                            <a:ea typeface="+mn-ea"/>
                            <a:cs typeface="+mn-cs"/>
                          </a:rPr>
                          <m:t>(</m:t>
                        </m:r>
                        <m:r>
                          <a:rPr lang="it-IT" sz="1600" b="0" i="1">
                            <a:solidFill>
                              <a:schemeClr val="tx1"/>
                            </a:solidFill>
                            <a:effectLst/>
                            <a:latin typeface="Cambria Math"/>
                            <a:ea typeface="+mn-ea"/>
                            <a:cs typeface="+mn-cs"/>
                          </a:rPr>
                          <m:t>𝑡</m:t>
                        </m:r>
                        <m:r>
                          <a:rPr lang="it-IT" sz="1600" b="0" i="1">
                            <a:solidFill>
                              <a:schemeClr val="tx1"/>
                            </a:solidFill>
                            <a:effectLst/>
                            <a:latin typeface="Cambria Math"/>
                            <a:ea typeface="+mn-ea"/>
                            <a:cs typeface="+mn-cs"/>
                          </a:rPr>
                          <m:t>,</m:t>
                        </m:r>
                        <m:r>
                          <a:rPr lang="it-IT" sz="1600" b="0" i="1">
                            <a:solidFill>
                              <a:schemeClr val="tx1"/>
                            </a:solidFill>
                            <a:effectLst/>
                            <a:latin typeface="Cambria Math"/>
                            <a:ea typeface="+mn-ea"/>
                            <a:cs typeface="+mn-cs"/>
                          </a:rPr>
                          <m:t>𝑠</m:t>
                        </m:r>
                        <m:r>
                          <a:rPr lang="it-IT" sz="1600" b="0" i="1">
                            <a:solidFill>
                              <a:schemeClr val="tx1"/>
                            </a:solidFill>
                            <a:effectLst/>
                            <a:latin typeface="Cambria Math"/>
                            <a:ea typeface="+mn-ea"/>
                            <a:cs typeface="+mn-cs"/>
                          </a:rPr>
                          <m:t>)</m:t>
                        </m:r>
                      </m:e>
                    </m:func>
                  </m:oMath>
                </m:oMathPara>
              </a14:m>
              <a:endParaRPr lang="it-IT" sz="1600"/>
            </a:p>
          </xdr:txBody>
        </xdr:sp>
      </mc:Choice>
      <mc:Fallback xmlns="">
        <xdr:sp macro="" textlink="">
          <xdr:nvSpPr>
            <xdr:cNvPr id="2" name="CasellaDiTesto 1"/>
            <xdr:cNvSpPr txBox="1"/>
          </xdr:nvSpPr>
          <xdr:spPr>
            <a:xfrm>
              <a:off x="933449" y="2843212"/>
              <a:ext cx="4752975" cy="5550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it-IT" sz="1600" b="0" i="0">
                  <a:latin typeface="Cambria Math"/>
                </a:rPr>
                <a:t>ℎ(𝑡,𝑠)=1/(𝑠−𝑡)  log⁡〖𝑚(𝑡,𝑠)=−〗</a:t>
              </a:r>
              <a:r>
                <a:rPr lang="it-IT" sz="1600" b="0" i="0">
                  <a:solidFill>
                    <a:schemeClr val="tx1"/>
                  </a:solidFill>
                  <a:effectLst/>
                  <a:latin typeface="+mn-lt"/>
                  <a:ea typeface="+mn-ea"/>
                  <a:cs typeface="+mn-cs"/>
                </a:rPr>
                <a:t>  1/(𝑠−𝑡)  log⁡〖</a:t>
              </a:r>
              <a:r>
                <a:rPr lang="it-IT" sz="1600" b="0" i="0">
                  <a:solidFill>
                    <a:schemeClr val="tx1"/>
                  </a:solidFill>
                  <a:effectLst/>
                  <a:latin typeface="Cambria Math"/>
                  <a:ea typeface="+mn-ea"/>
                  <a:cs typeface="+mn-cs"/>
                </a:rPr>
                <a:t>𝑣(𝑡,𝑠)</a:t>
              </a:r>
              <a:r>
                <a:rPr lang="it-IT" sz="1600" b="0" i="0">
                  <a:solidFill>
                    <a:schemeClr val="tx1"/>
                  </a:solidFill>
                  <a:effectLst/>
                  <a:latin typeface="+mn-lt"/>
                  <a:ea typeface="+mn-ea"/>
                  <a:cs typeface="+mn-cs"/>
                </a:rPr>
                <a:t>〗</a:t>
              </a:r>
              <a:endParaRPr lang="it-IT" sz="1600"/>
            </a:p>
          </xdr:txBody>
        </xdr:sp>
      </mc:Fallback>
    </mc:AlternateContent>
    <xdr:clientData/>
  </xdr:oneCellAnchor>
  <xdr:oneCellAnchor>
    <xdr:from>
      <xdr:col>1</xdr:col>
      <xdr:colOff>95249</xdr:colOff>
      <xdr:row>16</xdr:row>
      <xdr:rowOff>109537</xdr:rowOff>
    </xdr:from>
    <xdr:ext cx="3352801" cy="342786"/>
    <mc:AlternateContent xmlns:mc="http://schemas.openxmlformats.org/markup-compatibility/2006" xmlns:a14="http://schemas.microsoft.com/office/drawing/2010/main">
      <mc:Choice Requires="a14">
        <xdr:sp macro="" textlink="">
          <xdr:nvSpPr>
            <xdr:cNvPr id="4" name="CasellaDiTesto 3">
              <a:extLst>
                <a:ext uri="{FF2B5EF4-FFF2-40B4-BE49-F238E27FC236}">
                  <a16:creationId xmlns:a16="http://schemas.microsoft.com/office/drawing/2014/main" id="{00000000-0008-0000-1800-000004000000}"/>
                </a:ext>
              </a:extLst>
            </xdr:cNvPr>
            <xdr:cNvSpPr txBox="1"/>
          </xdr:nvSpPr>
          <xdr:spPr>
            <a:xfrm>
              <a:off x="361949" y="3919537"/>
              <a:ext cx="3352801"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m:rPr>
                        <m:sty m:val="p"/>
                      </m:rPr>
                      <a:rPr lang="it-IT" sz="1600" b="0" i="1">
                        <a:latin typeface="Cambria Math"/>
                      </a:rPr>
                      <m:t>m</m:t>
                    </m:r>
                    <m:d>
                      <m:dPr>
                        <m:ctrlPr>
                          <a:rPr lang="it-IT" sz="1600" b="0" i="1">
                            <a:latin typeface="Cambria Math" panose="02040503050406030204" pitchFamily="18" charset="0"/>
                          </a:rPr>
                        </m:ctrlPr>
                      </m:dPr>
                      <m:e>
                        <m:r>
                          <a:rPr lang="it-IT" sz="1600" b="0" i="1">
                            <a:latin typeface="Cambria Math"/>
                          </a:rPr>
                          <m:t>𝑡</m:t>
                        </m:r>
                        <m:r>
                          <a:rPr lang="it-IT" sz="1600" b="0" i="1">
                            <a:latin typeface="Cambria Math"/>
                          </a:rPr>
                          <m:t>,</m:t>
                        </m:r>
                        <m:r>
                          <a:rPr lang="it-IT" sz="1600" b="0" i="1">
                            <a:latin typeface="Cambria Math"/>
                          </a:rPr>
                          <m:t>𝑠</m:t>
                        </m:r>
                      </m:e>
                    </m:d>
                    <m:r>
                      <a:rPr lang="it-IT" sz="1600" b="0" i="1">
                        <a:latin typeface="Cambria Math"/>
                      </a:rPr>
                      <m:t>=1+</m:t>
                    </m:r>
                    <m:r>
                      <a:rPr lang="it-IT" sz="1600" b="0" i="1">
                        <a:latin typeface="Cambria Math"/>
                      </a:rPr>
                      <m:t>𝑖</m:t>
                    </m:r>
                    <m:r>
                      <a:rPr lang="it-IT" sz="1600" b="0" i="1">
                        <a:latin typeface="Cambria Math"/>
                      </a:rPr>
                      <m:t>(</m:t>
                    </m:r>
                    <m:r>
                      <a:rPr lang="it-IT" sz="1600" b="0" i="1">
                        <a:latin typeface="Cambria Math"/>
                      </a:rPr>
                      <m:t>𝑠</m:t>
                    </m:r>
                    <m:r>
                      <a:rPr lang="it-IT" sz="1600" b="0" i="1">
                        <a:latin typeface="Cambria Math"/>
                      </a:rPr>
                      <m:t>−</m:t>
                    </m:r>
                    <m:r>
                      <a:rPr lang="it-IT" sz="1600" b="0" i="1">
                        <a:latin typeface="Cambria Math"/>
                      </a:rPr>
                      <m:t>𝑡</m:t>
                    </m:r>
                    <m:r>
                      <a:rPr lang="it-IT" sz="1600" b="0" i="1">
                        <a:latin typeface="Cambria Math"/>
                      </a:rPr>
                      <m:t>)</m:t>
                    </m:r>
                  </m:oMath>
                </m:oMathPara>
              </a14:m>
              <a:endParaRPr lang="it-IT" sz="1600"/>
            </a:p>
          </xdr:txBody>
        </xdr:sp>
      </mc:Choice>
      <mc:Fallback xmlns="">
        <xdr:sp macro="" textlink="">
          <xdr:nvSpPr>
            <xdr:cNvPr id="4" name="CasellaDiTesto 3"/>
            <xdr:cNvSpPr txBox="1"/>
          </xdr:nvSpPr>
          <xdr:spPr>
            <a:xfrm>
              <a:off x="361949" y="3919537"/>
              <a:ext cx="3352801"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it-IT" sz="1600" b="0" i="0">
                  <a:latin typeface="Cambria Math"/>
                </a:rPr>
                <a:t>m(𝑡,𝑠)=1+𝑖(𝑠−𝑡)</a:t>
              </a:r>
              <a:endParaRPr lang="it-IT" sz="1600"/>
            </a:p>
          </xdr:txBody>
        </xdr:sp>
      </mc:Fallback>
    </mc:AlternateContent>
    <xdr:clientData/>
  </xdr:oneCellAnchor>
  <xdr:oneCellAnchor>
    <xdr:from>
      <xdr:col>1</xdr:col>
      <xdr:colOff>161924</xdr:colOff>
      <xdr:row>22</xdr:row>
      <xdr:rowOff>176212</xdr:rowOff>
    </xdr:from>
    <xdr:ext cx="3352801" cy="344325"/>
    <mc:AlternateContent xmlns:mc="http://schemas.openxmlformats.org/markup-compatibility/2006" xmlns:a14="http://schemas.microsoft.com/office/drawing/2010/main">
      <mc:Choice Requires="a14">
        <xdr:sp macro="" textlink="">
          <xdr:nvSpPr>
            <xdr:cNvPr id="5" name="CasellaDiTesto 4">
              <a:extLst>
                <a:ext uri="{FF2B5EF4-FFF2-40B4-BE49-F238E27FC236}">
                  <a16:creationId xmlns:a16="http://schemas.microsoft.com/office/drawing/2014/main" id="{00000000-0008-0000-1800-000005000000}"/>
                </a:ext>
              </a:extLst>
            </xdr:cNvPr>
            <xdr:cNvSpPr txBox="1"/>
          </xdr:nvSpPr>
          <xdr:spPr>
            <a:xfrm>
              <a:off x="428624" y="5414962"/>
              <a:ext cx="3352801" cy="34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m:rPr>
                        <m:sty m:val="p"/>
                      </m:rPr>
                      <a:rPr lang="it-IT" sz="1600" b="0" i="1">
                        <a:latin typeface="Cambria Math"/>
                      </a:rPr>
                      <m:t>m</m:t>
                    </m:r>
                    <m:d>
                      <m:dPr>
                        <m:ctrlPr>
                          <a:rPr lang="it-IT" sz="1600" b="0" i="1">
                            <a:latin typeface="Cambria Math" panose="02040503050406030204" pitchFamily="18" charset="0"/>
                          </a:rPr>
                        </m:ctrlPr>
                      </m:dPr>
                      <m:e>
                        <m:r>
                          <a:rPr lang="it-IT" sz="1600" b="0" i="1">
                            <a:latin typeface="Cambria Math"/>
                          </a:rPr>
                          <m:t>𝑡</m:t>
                        </m:r>
                        <m:r>
                          <a:rPr lang="it-IT" sz="1600" b="0" i="1">
                            <a:latin typeface="Cambria Math"/>
                          </a:rPr>
                          <m:t>,</m:t>
                        </m:r>
                        <m:r>
                          <a:rPr lang="it-IT" sz="1600" b="0" i="1">
                            <a:latin typeface="Cambria Math"/>
                          </a:rPr>
                          <m:t>𝑠</m:t>
                        </m:r>
                      </m:e>
                    </m:d>
                    <m:r>
                      <a:rPr lang="it-IT" sz="1600" b="0" i="1">
                        <a:latin typeface="Cambria Math"/>
                      </a:rPr>
                      <m:t>=</m:t>
                    </m:r>
                    <m:sSup>
                      <m:sSupPr>
                        <m:ctrlPr>
                          <a:rPr lang="it-IT" sz="1600" b="0" i="1">
                            <a:latin typeface="Cambria Math" panose="02040503050406030204" pitchFamily="18" charset="0"/>
                          </a:rPr>
                        </m:ctrlPr>
                      </m:sSupPr>
                      <m:e>
                        <m:r>
                          <a:rPr lang="it-IT" sz="1600" b="0" i="1">
                            <a:latin typeface="Cambria Math"/>
                          </a:rPr>
                          <m:t>(1+</m:t>
                        </m:r>
                        <m:r>
                          <a:rPr lang="it-IT" sz="1600" b="0" i="1">
                            <a:latin typeface="Cambria Math"/>
                          </a:rPr>
                          <m:t>𝑖</m:t>
                        </m:r>
                        <m:r>
                          <a:rPr lang="it-IT" sz="1600" b="0" i="1">
                            <a:latin typeface="Cambria Math"/>
                          </a:rPr>
                          <m:t>)</m:t>
                        </m:r>
                      </m:e>
                      <m:sup>
                        <m:r>
                          <a:rPr lang="it-IT" sz="1600" b="0" i="1">
                            <a:latin typeface="Cambria Math"/>
                          </a:rPr>
                          <m:t>𝑠</m:t>
                        </m:r>
                        <m:r>
                          <a:rPr lang="it-IT" sz="1600" b="0" i="1">
                            <a:latin typeface="Cambria Math"/>
                          </a:rPr>
                          <m:t>−</m:t>
                        </m:r>
                        <m:r>
                          <a:rPr lang="it-IT" sz="1600" b="0" i="1">
                            <a:latin typeface="Cambria Math"/>
                          </a:rPr>
                          <m:t>𝑡</m:t>
                        </m:r>
                      </m:sup>
                    </m:sSup>
                  </m:oMath>
                </m:oMathPara>
              </a14:m>
              <a:endParaRPr lang="it-IT" sz="1600"/>
            </a:p>
          </xdr:txBody>
        </xdr:sp>
      </mc:Choice>
      <mc:Fallback xmlns="">
        <xdr:sp macro="" textlink="">
          <xdr:nvSpPr>
            <xdr:cNvPr id="5" name="CasellaDiTesto 4"/>
            <xdr:cNvSpPr txBox="1"/>
          </xdr:nvSpPr>
          <xdr:spPr>
            <a:xfrm>
              <a:off x="428624" y="5414962"/>
              <a:ext cx="3352801" cy="34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it-IT" sz="1600" b="0" i="0">
                  <a:latin typeface="Cambria Math"/>
                </a:rPr>
                <a:t>m(𝑡,𝑠)=〖(1+𝑖)〗^(𝑠−𝑡)</a:t>
              </a:r>
              <a:endParaRPr lang="it-IT" sz="1600"/>
            </a:p>
          </xdr:txBody>
        </xdr:sp>
      </mc:Fallback>
    </mc:AlternateContent>
    <xdr:clientData/>
  </xdr:oneCellAnchor>
  <xdr:oneCellAnchor>
    <xdr:from>
      <xdr:col>5</xdr:col>
      <xdr:colOff>257174</xdr:colOff>
      <xdr:row>22</xdr:row>
      <xdr:rowOff>61912</xdr:rowOff>
    </xdr:from>
    <xdr:ext cx="5457826" cy="555024"/>
    <mc:AlternateContent xmlns:mc="http://schemas.openxmlformats.org/markup-compatibility/2006" xmlns:a14="http://schemas.microsoft.com/office/drawing/2010/main">
      <mc:Choice Requires="a14">
        <xdr:sp macro="" textlink="">
          <xdr:nvSpPr>
            <xdr:cNvPr id="6" name="CasellaDiTesto 5">
              <a:extLst>
                <a:ext uri="{FF2B5EF4-FFF2-40B4-BE49-F238E27FC236}">
                  <a16:creationId xmlns:a16="http://schemas.microsoft.com/office/drawing/2014/main" id="{00000000-0008-0000-1800-000006000000}"/>
                </a:ext>
              </a:extLst>
            </xdr:cNvPr>
            <xdr:cNvSpPr txBox="1"/>
          </xdr:nvSpPr>
          <xdr:spPr>
            <a:xfrm>
              <a:off x="4124324" y="5300662"/>
              <a:ext cx="5457826" cy="5550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m:rPr>
                        <m:sty m:val="p"/>
                      </m:rPr>
                      <a:rPr lang="it-IT" sz="1600" b="0" i="1">
                        <a:latin typeface="Cambria Math"/>
                      </a:rPr>
                      <m:t>h</m:t>
                    </m:r>
                    <m:d>
                      <m:dPr>
                        <m:ctrlPr>
                          <a:rPr lang="it-IT" sz="1600" b="0" i="1">
                            <a:latin typeface="Cambria Math" panose="02040503050406030204" pitchFamily="18" charset="0"/>
                          </a:rPr>
                        </m:ctrlPr>
                      </m:dPr>
                      <m:e>
                        <m:r>
                          <a:rPr lang="it-IT" sz="1600" b="0" i="1">
                            <a:latin typeface="Cambria Math"/>
                          </a:rPr>
                          <m:t>𝑡</m:t>
                        </m:r>
                        <m:r>
                          <a:rPr lang="it-IT" sz="1600" b="0" i="1">
                            <a:latin typeface="Cambria Math"/>
                          </a:rPr>
                          <m:t>,</m:t>
                        </m:r>
                        <m:r>
                          <a:rPr lang="it-IT" sz="1600" b="0" i="1">
                            <a:latin typeface="Cambria Math"/>
                          </a:rPr>
                          <m:t>𝑠</m:t>
                        </m:r>
                      </m:e>
                    </m:d>
                    <m:r>
                      <a:rPr lang="it-IT" sz="1600" b="0" i="1">
                        <a:latin typeface="Cambria Math"/>
                      </a:rPr>
                      <m:t>=</m:t>
                    </m:r>
                    <m:sSup>
                      <m:sSupPr>
                        <m:ctrlPr>
                          <a:rPr lang="it-IT" sz="1600" b="0" i="1">
                            <a:latin typeface="Cambria Math" panose="02040503050406030204" pitchFamily="18" charset="0"/>
                          </a:rPr>
                        </m:ctrlPr>
                      </m:sSupPr>
                      <m:e>
                        <m:f>
                          <m:fPr>
                            <m:ctrlPr>
                              <a:rPr lang="it-IT" sz="1600" b="0" i="1">
                                <a:latin typeface="Cambria Math" panose="02040503050406030204" pitchFamily="18" charset="0"/>
                              </a:rPr>
                            </m:ctrlPr>
                          </m:fPr>
                          <m:num>
                            <m:r>
                              <a:rPr lang="it-IT" sz="1600" b="0" i="1">
                                <a:latin typeface="Cambria Math"/>
                              </a:rPr>
                              <m:t>1</m:t>
                            </m:r>
                          </m:num>
                          <m:den>
                            <m:r>
                              <a:rPr lang="it-IT" sz="1600" b="0" i="1">
                                <a:latin typeface="Cambria Math"/>
                              </a:rPr>
                              <m:t>𝑠</m:t>
                            </m:r>
                            <m:r>
                              <a:rPr lang="it-IT" sz="1600" b="0" i="1">
                                <a:latin typeface="Cambria Math"/>
                              </a:rPr>
                              <m:t>−</m:t>
                            </m:r>
                            <m:r>
                              <a:rPr lang="it-IT" sz="1600" b="0" i="1">
                                <a:latin typeface="Cambria Math"/>
                              </a:rPr>
                              <m:t>𝑡</m:t>
                            </m:r>
                          </m:den>
                        </m:f>
                        <m:r>
                          <a:rPr lang="it-IT" sz="1600" b="0" i="1">
                            <a:latin typeface="Cambria Math"/>
                          </a:rPr>
                          <m:t>𝑙𝑛</m:t>
                        </m:r>
                        <m:r>
                          <a:rPr lang="it-IT" sz="1600" b="0" i="1">
                            <a:latin typeface="Cambria Math"/>
                          </a:rPr>
                          <m:t>(1+</m:t>
                        </m:r>
                        <m:r>
                          <a:rPr lang="it-IT" sz="1600" b="0" i="1">
                            <a:latin typeface="Cambria Math"/>
                          </a:rPr>
                          <m:t>𝑖</m:t>
                        </m:r>
                        <m:r>
                          <a:rPr lang="it-IT" sz="1600" b="0" i="1">
                            <a:latin typeface="Cambria Math"/>
                          </a:rPr>
                          <m:t>)</m:t>
                        </m:r>
                      </m:e>
                      <m:sup>
                        <m:r>
                          <a:rPr lang="it-IT" sz="1600" b="0" i="1">
                            <a:latin typeface="Cambria Math"/>
                          </a:rPr>
                          <m:t>𝑠</m:t>
                        </m:r>
                        <m:r>
                          <a:rPr lang="it-IT" sz="1600" b="0" i="1">
                            <a:latin typeface="Cambria Math"/>
                          </a:rPr>
                          <m:t>−</m:t>
                        </m:r>
                        <m:r>
                          <a:rPr lang="it-IT" sz="1600" b="0" i="1">
                            <a:latin typeface="Cambria Math"/>
                          </a:rPr>
                          <m:t>𝑡</m:t>
                        </m:r>
                      </m:sup>
                    </m:sSup>
                    <m:r>
                      <a:rPr lang="it-IT" sz="1600" b="0" i="1">
                        <a:latin typeface="Cambria Math"/>
                      </a:rPr>
                      <m:t>=</m:t>
                    </m:r>
                    <m:f>
                      <m:fPr>
                        <m:ctrlPr>
                          <a:rPr lang="it-IT" sz="1600" b="0" i="1">
                            <a:latin typeface="Cambria Math" panose="02040503050406030204" pitchFamily="18" charset="0"/>
                          </a:rPr>
                        </m:ctrlPr>
                      </m:fPr>
                      <m:num>
                        <m:r>
                          <a:rPr lang="it-IT" sz="1600" b="0" i="1">
                            <a:latin typeface="Cambria Math"/>
                          </a:rPr>
                          <m:t>1</m:t>
                        </m:r>
                      </m:num>
                      <m:den>
                        <m:r>
                          <a:rPr lang="it-IT" sz="1600" b="0" i="1">
                            <a:latin typeface="Cambria Math"/>
                          </a:rPr>
                          <m:t>𝑠</m:t>
                        </m:r>
                        <m:r>
                          <a:rPr lang="it-IT" sz="1600" b="0" i="1">
                            <a:latin typeface="Cambria Math"/>
                          </a:rPr>
                          <m:t>−</m:t>
                        </m:r>
                        <m:r>
                          <a:rPr lang="it-IT" sz="1600" b="0" i="1">
                            <a:latin typeface="Cambria Math"/>
                          </a:rPr>
                          <m:t>𝑡</m:t>
                        </m:r>
                      </m:den>
                    </m:f>
                    <m:d>
                      <m:dPr>
                        <m:ctrlPr>
                          <a:rPr lang="it-IT" sz="1600" b="0" i="1">
                            <a:latin typeface="Cambria Math" panose="02040503050406030204" pitchFamily="18" charset="0"/>
                          </a:rPr>
                        </m:ctrlPr>
                      </m:dPr>
                      <m:e>
                        <m:r>
                          <a:rPr lang="it-IT" sz="1600" b="0" i="1">
                            <a:latin typeface="Cambria Math"/>
                          </a:rPr>
                          <m:t>𝑠</m:t>
                        </m:r>
                        <m:r>
                          <a:rPr lang="it-IT" sz="1600" b="0" i="1">
                            <a:latin typeface="Cambria Math"/>
                          </a:rPr>
                          <m:t>−</m:t>
                        </m:r>
                        <m:r>
                          <a:rPr lang="it-IT" sz="1600" b="0" i="1">
                            <a:latin typeface="Cambria Math"/>
                          </a:rPr>
                          <m:t>𝑡</m:t>
                        </m:r>
                      </m:e>
                    </m:d>
                    <m:r>
                      <m:rPr>
                        <m:sty m:val="p"/>
                      </m:rPr>
                      <a:rPr lang="it-IT" sz="1600" b="0" i="0">
                        <a:latin typeface="Cambria Math"/>
                      </a:rPr>
                      <m:t>ln</m:t>
                    </m:r>
                    <m:r>
                      <a:rPr lang="it-IT" sz="1600" b="0" i="1">
                        <a:latin typeface="Cambria Math"/>
                      </a:rPr>
                      <m:t>⁡(1+</m:t>
                    </m:r>
                    <m:r>
                      <a:rPr lang="it-IT" sz="1600" b="0" i="1">
                        <a:latin typeface="Cambria Math"/>
                      </a:rPr>
                      <m:t>𝑖</m:t>
                    </m:r>
                    <m:r>
                      <a:rPr lang="it-IT" sz="1600" b="0" i="1">
                        <a:latin typeface="Cambria Math"/>
                      </a:rPr>
                      <m:t>)</m:t>
                    </m:r>
                  </m:oMath>
                </m:oMathPara>
              </a14:m>
              <a:endParaRPr lang="it-IT" sz="1600"/>
            </a:p>
          </xdr:txBody>
        </xdr:sp>
      </mc:Choice>
      <mc:Fallback xmlns="">
        <xdr:sp macro="" textlink="">
          <xdr:nvSpPr>
            <xdr:cNvPr id="6" name="CasellaDiTesto 5"/>
            <xdr:cNvSpPr txBox="1"/>
          </xdr:nvSpPr>
          <xdr:spPr>
            <a:xfrm>
              <a:off x="4124324" y="5300662"/>
              <a:ext cx="5457826" cy="5550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it-IT" sz="1600" b="0" i="0">
                  <a:latin typeface="Cambria Math"/>
                </a:rPr>
                <a:t>h(𝑡,𝑠)=〖1/(𝑠−𝑡) 𝑙𝑛(1+𝑖)〗^(𝑠−𝑡)=1/(𝑠−𝑡) (𝑠−𝑡)ln⁡(1+𝑖)</a:t>
              </a:r>
              <a:endParaRPr lang="it-IT" sz="16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twoCellAnchor>
    <xdr:from>
      <xdr:col>0</xdr:col>
      <xdr:colOff>485775</xdr:colOff>
      <xdr:row>0</xdr:row>
      <xdr:rowOff>142875</xdr:rowOff>
    </xdr:from>
    <xdr:to>
      <xdr:col>16</xdr:col>
      <xdr:colOff>419100</xdr:colOff>
      <xdr:row>27</xdr:row>
      <xdr:rowOff>123826</xdr:rowOff>
    </xdr:to>
    <xdr:sp macro="" textlink="">
      <xdr:nvSpPr>
        <xdr:cNvPr id="2" name="Text Box 2">
          <a:extLst>
            <a:ext uri="{FF2B5EF4-FFF2-40B4-BE49-F238E27FC236}">
              <a16:creationId xmlns:a16="http://schemas.microsoft.com/office/drawing/2014/main" id="{00000000-0008-0000-1500-000002000000}"/>
            </a:ext>
          </a:extLst>
        </xdr:cNvPr>
        <xdr:cNvSpPr txBox="1">
          <a:spLocks noChangeArrowheads="1"/>
        </xdr:cNvSpPr>
      </xdr:nvSpPr>
      <xdr:spPr bwMode="auto">
        <a:xfrm>
          <a:off x="485775" y="142875"/>
          <a:ext cx="9686925" cy="5124451"/>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it-IT" sz="1600" b="0" i="0" u="none" strike="noStrike" baseline="0">
              <a:solidFill>
                <a:srgbClr val="000000"/>
              </a:solidFill>
              <a:latin typeface="Calibri"/>
            </a:rPr>
            <a:t>Si consideri un investitore che, all’asta del 15 settembre 2014 acquista un bot trimestrale, con scadenza il 15</a:t>
          </a:r>
        </a:p>
        <a:p>
          <a:pPr algn="l" rtl="0">
            <a:defRPr sz="1000"/>
          </a:pPr>
          <a:r>
            <a:rPr lang="it-IT" sz="1600" b="0" i="0" u="none" strike="noStrike" baseline="0">
              <a:solidFill>
                <a:srgbClr val="000000"/>
              </a:solidFill>
              <a:latin typeface="Calibri"/>
            </a:rPr>
            <a:t>dicembre dello stesso anno e valore di rimborso di 5000 euro. Il prezzo di acquisto (lordo) è di 4880 euro</a:t>
          </a:r>
        </a:p>
        <a:p>
          <a:pPr algn="l" rtl="0">
            <a:defRPr sz="1000"/>
          </a:pPr>
          <a:r>
            <a:rPr lang="it-IT" sz="1600" b="0" i="0" u="none" strike="noStrike" baseline="0">
              <a:solidFill>
                <a:srgbClr val="000000"/>
              </a:solidFill>
              <a:latin typeface="Calibri"/>
            </a:rPr>
            <a:t>e tale titolo è gravato da un’imposta del 12.5% sull’interesse, che va pagata anticipatamente all’atto dell’acquisto</a:t>
          </a:r>
        </a:p>
        <a:p>
          <a:pPr algn="l" rtl="0">
            <a:defRPr sz="1000"/>
          </a:pPr>
          <a:r>
            <a:rPr lang="it-IT" sz="1600" b="0" i="0" u="none" strike="noStrike" baseline="0">
              <a:solidFill>
                <a:srgbClr val="000000"/>
              </a:solidFill>
              <a:latin typeface="Calibri"/>
            </a:rPr>
            <a:t>(e quindi il prezzo netto del titolo tiene conto di tale gravame fiscale). Considerando i giorni effettivi di durata</a:t>
          </a:r>
        </a:p>
        <a:p>
          <a:pPr algn="l" rtl="0">
            <a:defRPr sz="1000"/>
          </a:pPr>
          <a:r>
            <a:rPr lang="it-IT" sz="1600" b="0" i="0" u="none" strike="noStrike" baseline="0">
              <a:solidFill>
                <a:srgbClr val="000000"/>
              </a:solidFill>
              <a:latin typeface="Calibri"/>
            </a:rPr>
            <a:t>dell’operazione, calcolare le seguenti grandezze periodali:</a:t>
          </a:r>
        </a:p>
        <a:p>
          <a:pPr algn="l" rtl="0">
            <a:defRPr sz="1000"/>
          </a:pPr>
          <a:r>
            <a:rPr lang="it-IT" sz="1600" b="0" i="0" u="none" strike="noStrike" baseline="0">
              <a:solidFill>
                <a:srgbClr val="000000"/>
              </a:solidFill>
              <a:latin typeface="Calibri"/>
            </a:rPr>
            <a:t>(a) il tasso di interesse lordo</a:t>
          </a:r>
        </a:p>
        <a:p>
          <a:pPr algn="l" rtl="0">
            <a:defRPr sz="1000"/>
          </a:pPr>
          <a:r>
            <a:rPr lang="it-IT" sz="1600" b="0" i="0" u="none" strike="noStrike" baseline="0">
              <a:solidFill>
                <a:srgbClr val="000000"/>
              </a:solidFill>
              <a:latin typeface="Calibri"/>
            </a:rPr>
            <a:t>(b) l’intensità di interesse lorda su base giornaliera</a:t>
          </a:r>
        </a:p>
        <a:p>
          <a:pPr algn="l" rtl="0">
            <a:defRPr sz="1000"/>
          </a:pPr>
          <a:r>
            <a:rPr lang="it-IT" sz="1600" b="0" i="0" u="none" strike="noStrike" baseline="0">
              <a:solidFill>
                <a:srgbClr val="000000"/>
              </a:solidFill>
              <a:latin typeface="Calibri"/>
            </a:rPr>
            <a:t>(c) il tasso di interesse netto</a:t>
          </a:r>
        </a:p>
        <a:p>
          <a:pPr algn="l" rtl="0">
            <a:defRPr sz="1000"/>
          </a:pPr>
          <a:r>
            <a:rPr lang="it-IT" sz="1600" b="0" i="0" u="none" strike="noStrike" baseline="0">
              <a:solidFill>
                <a:srgbClr val="000000"/>
              </a:solidFill>
              <a:latin typeface="Calibri"/>
            </a:rPr>
            <a:t>(d) l’intensità di interesse netta su base giornaliera</a:t>
          </a:r>
        </a:p>
        <a:p>
          <a:pPr algn="l" rtl="0">
            <a:defRPr sz="1000"/>
          </a:pPr>
          <a:r>
            <a:rPr lang="it-IT" sz="1600" b="0" i="0" u="none" strike="noStrike" baseline="0">
              <a:solidFill>
                <a:srgbClr val="000000"/>
              </a:solidFill>
              <a:latin typeface="Calibri"/>
            </a:rPr>
            <a:t>Ipotizzando una sottostante legge di capitalizzazione esponenziale e misurando l’anno in giorni effettivi (365),</a:t>
          </a:r>
        </a:p>
        <a:p>
          <a:pPr algn="l" rtl="0">
            <a:defRPr sz="1000"/>
          </a:pPr>
          <a:r>
            <a:rPr lang="it-IT" sz="1600" b="0" i="0" u="none" strike="noStrike" baseline="0">
              <a:solidFill>
                <a:srgbClr val="000000"/>
              </a:solidFill>
              <a:latin typeface="Calibri"/>
            </a:rPr>
            <a:t>calcolare:</a:t>
          </a:r>
        </a:p>
        <a:p>
          <a:pPr algn="l" rtl="0">
            <a:defRPr sz="1000"/>
          </a:pPr>
          <a:r>
            <a:rPr lang="it-IT" sz="1600" b="0" i="0" u="none" strike="noStrike" baseline="0">
              <a:solidFill>
                <a:srgbClr val="000000"/>
              </a:solidFill>
              <a:latin typeface="Calibri"/>
            </a:rPr>
            <a:t>(e) il tasso annuo di interesse lordo</a:t>
          </a:r>
        </a:p>
        <a:p>
          <a:pPr algn="l" rtl="0">
            <a:defRPr sz="1000"/>
          </a:pPr>
          <a:r>
            <a:rPr lang="it-IT" sz="1600" b="0" i="0" u="none" strike="noStrike" baseline="0">
              <a:solidFill>
                <a:srgbClr val="000000"/>
              </a:solidFill>
              <a:latin typeface="Calibri"/>
            </a:rPr>
            <a:t>(f) l’intensità istantanea di interesse lorda su base annua</a:t>
          </a:r>
        </a:p>
        <a:p>
          <a:pPr algn="l" rtl="0">
            <a:defRPr sz="1000"/>
          </a:pPr>
          <a:r>
            <a:rPr lang="it-IT" sz="1600" b="0" i="0" u="none" strike="noStrike" baseline="0">
              <a:solidFill>
                <a:srgbClr val="000000"/>
              </a:solidFill>
              <a:latin typeface="Calibri"/>
            </a:rPr>
            <a:t>(g) il tasso annuo di interesse netto</a:t>
          </a:r>
        </a:p>
        <a:p>
          <a:pPr algn="l" rtl="0">
            <a:defRPr sz="1000"/>
          </a:pPr>
          <a:r>
            <a:rPr lang="it-IT" sz="1600" b="0" i="0" u="none" strike="noStrike" baseline="0">
              <a:solidFill>
                <a:srgbClr val="000000"/>
              </a:solidFill>
              <a:latin typeface="Calibri"/>
            </a:rPr>
            <a:t>(h) l’intensità istantanea di interesse netta su base annua</a:t>
          </a:r>
        </a:p>
        <a:p>
          <a:pPr algn="l" rtl="0">
            <a:defRPr sz="1000"/>
          </a:pPr>
          <a:r>
            <a:rPr lang="it-IT" sz="1600" b="0" i="0" u="none" strike="noStrike" baseline="0">
              <a:solidFill>
                <a:srgbClr val="000000"/>
              </a:solidFill>
              <a:latin typeface="Calibri"/>
            </a:rPr>
            <a:t>Ipotizzando una sottostante legge di capitalizzazione lineare e misurando l’anno in giorni effettivi (365), calcolare:</a:t>
          </a:r>
        </a:p>
        <a:p>
          <a:pPr algn="l" rtl="0">
            <a:defRPr sz="1000"/>
          </a:pPr>
          <a:r>
            <a:rPr lang="it-IT" sz="1600" b="0" i="0" u="none" strike="noStrike" baseline="0">
              <a:solidFill>
                <a:srgbClr val="000000"/>
              </a:solidFill>
              <a:latin typeface="Calibri"/>
            </a:rPr>
            <a:t>(i) il tasso annuo di interesse lordo</a:t>
          </a:r>
        </a:p>
        <a:p>
          <a:pPr algn="l" rtl="0">
            <a:defRPr sz="1000"/>
          </a:pPr>
          <a:r>
            <a:rPr lang="it-IT" sz="1600" b="0" i="0" u="none" strike="noStrike" baseline="0">
              <a:solidFill>
                <a:srgbClr val="000000"/>
              </a:solidFill>
              <a:latin typeface="Calibri"/>
            </a:rPr>
            <a:t>(j) il tasso annuo di interesse netto</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247650</xdr:colOff>
      <xdr:row>0</xdr:row>
      <xdr:rowOff>76200</xdr:rowOff>
    </xdr:from>
    <xdr:to>
      <xdr:col>7</xdr:col>
      <xdr:colOff>790575</xdr:colOff>
      <xdr:row>22</xdr:row>
      <xdr:rowOff>152400</xdr:rowOff>
    </xdr:to>
    <xdr:sp macro="" textlink="">
      <xdr:nvSpPr>
        <xdr:cNvPr id="15370" name="Content Placeholder 4">
          <a:extLst>
            <a:ext uri="{FF2B5EF4-FFF2-40B4-BE49-F238E27FC236}">
              <a16:creationId xmlns:a16="http://schemas.microsoft.com/office/drawing/2014/main" id="{00000000-0008-0000-0E00-00000A3C0000}"/>
            </a:ext>
          </a:extLst>
        </xdr:cNvPr>
        <xdr:cNvSpPr>
          <a:spLocks/>
        </xdr:cNvSpPr>
      </xdr:nvSpPr>
      <xdr:spPr bwMode="auto">
        <a:xfrm>
          <a:off x="247650" y="76200"/>
          <a:ext cx="10125075" cy="5314950"/>
        </a:xfrm>
        <a:prstGeom prst="rect">
          <a:avLst/>
        </a:prstGeom>
        <a:solidFill>
          <a:srgbClr val="FFFFFF"/>
        </a:solidFill>
        <a:ln w="25400" algn="ctr">
          <a:solidFill>
            <a:srgbClr val="4F81BD"/>
          </a:solidFill>
          <a:miter lim="800000"/>
          <a:headEnd/>
          <a:tailEnd/>
        </a:ln>
      </xdr:spPr>
      <xdr:txBody>
        <a:bodyPr vertOverflow="clip" wrap="square" lIns="36576" tIns="36576" rIns="0" bIns="0" anchor="t" upright="1"/>
        <a:lstStyle/>
        <a:p>
          <a:pPr algn="l" rtl="0">
            <a:lnSpc>
              <a:spcPts val="1900"/>
            </a:lnSpc>
            <a:defRPr sz="1000"/>
          </a:pPr>
          <a:r>
            <a:rPr lang="it-IT" sz="1600" b="0" i="0" u="none" strike="noStrike" baseline="0">
              <a:solidFill>
                <a:srgbClr val="000000"/>
              </a:solidFill>
              <a:latin typeface="Calibri"/>
            </a:rPr>
            <a:t>Si consideri in t</a:t>
          </a:r>
          <a:r>
            <a:rPr lang="it-IT" sz="1600" b="0" i="0" u="none" strike="noStrike" baseline="-25000">
              <a:solidFill>
                <a:srgbClr val="000000"/>
              </a:solidFill>
              <a:latin typeface="Calibri"/>
            </a:rPr>
            <a:t>0</a:t>
          </a:r>
          <a:r>
            <a:rPr lang="it-IT" sz="1600" b="0" i="0" u="none" strike="noStrike" baseline="0">
              <a:solidFill>
                <a:srgbClr val="000000"/>
              </a:solidFill>
              <a:latin typeface="Calibri"/>
            </a:rPr>
            <a:t>= 0 l’acquisto di un titolo a cedola nulla con vita a scadenza di 20 giorni (t</a:t>
          </a:r>
          <a:r>
            <a:rPr lang="it-IT" sz="1600" b="0" i="0" u="none" strike="noStrike" baseline="-25000">
              <a:solidFill>
                <a:srgbClr val="000000"/>
              </a:solidFill>
              <a:latin typeface="Calibri"/>
            </a:rPr>
            <a:t>1</a:t>
          </a:r>
          <a:r>
            <a:rPr lang="it-IT" sz="1600" b="0" i="0" u="none" strike="noStrike" baseline="0">
              <a:solidFill>
                <a:srgbClr val="000000"/>
              </a:solidFill>
              <a:latin typeface="Calibri"/>
            </a:rPr>
            <a:t>=20 giorni) e prezzo di acquisto (lordo) di W(t</a:t>
          </a:r>
          <a:r>
            <a:rPr lang="it-IT" sz="1600" b="0" i="0" u="none" strike="noStrike" baseline="-25000">
              <a:solidFill>
                <a:srgbClr val="000000"/>
              </a:solidFill>
              <a:latin typeface="Calibri"/>
            </a:rPr>
            <a:t>0</a:t>
          </a:r>
          <a:r>
            <a:rPr lang="it-IT" sz="1600" b="0" i="0" u="none" strike="noStrike" baseline="0">
              <a:solidFill>
                <a:srgbClr val="000000"/>
              </a:solidFill>
              <a:latin typeface="Calibri"/>
            </a:rPr>
            <a:t>)=99,71€ che rimborsa W(t</a:t>
          </a:r>
          <a:r>
            <a:rPr lang="it-IT" sz="1600" b="0" i="0" u="none" strike="noStrike" baseline="-25000">
              <a:solidFill>
                <a:srgbClr val="000000"/>
              </a:solidFill>
              <a:latin typeface="Calibri"/>
            </a:rPr>
            <a:t>1</a:t>
          </a:r>
          <a:r>
            <a:rPr lang="it-IT" sz="1600" b="0" i="0" u="none" strike="noStrike" baseline="0">
              <a:solidFill>
                <a:srgbClr val="000000"/>
              </a:solidFill>
              <a:latin typeface="Calibri"/>
            </a:rPr>
            <a:t>)=100€ di valore nominale. </a:t>
          </a:r>
        </a:p>
        <a:p>
          <a:pPr algn="l" rtl="0">
            <a:lnSpc>
              <a:spcPts val="1900"/>
            </a:lnSpc>
            <a:defRPr sz="1000"/>
          </a:pPr>
          <a:endParaRPr lang="it-IT" sz="1600" b="0" i="0" u="none" strike="noStrike" baseline="0">
            <a:solidFill>
              <a:srgbClr val="000000"/>
            </a:solidFill>
            <a:latin typeface="Calibri"/>
          </a:endParaRPr>
        </a:p>
        <a:p>
          <a:pPr algn="l" rtl="0">
            <a:lnSpc>
              <a:spcPts val="1900"/>
            </a:lnSpc>
            <a:defRPr sz="1000"/>
          </a:pPr>
          <a:r>
            <a:rPr lang="it-IT" sz="1600" b="0" i="0" u="none" strike="noStrike" baseline="0">
              <a:solidFill>
                <a:srgbClr val="000000"/>
              </a:solidFill>
              <a:latin typeface="Calibri"/>
            </a:rPr>
            <a:t>Sapendo che tale titolo è soggetto ad una ritenuta fiscale, da pagarsi anticipatamente, del 12,5% sull’interesse lordo, calcolare relativamente all’operazione di acquisto:</a:t>
          </a:r>
        </a:p>
        <a:p>
          <a:pPr algn="l" rtl="0">
            <a:lnSpc>
              <a:spcPts val="1900"/>
            </a:lnSpc>
            <a:defRPr sz="1000"/>
          </a:pPr>
          <a:r>
            <a:rPr lang="it-IT" sz="1600" b="0" i="0" u="none" strike="noStrike" baseline="0">
              <a:solidFill>
                <a:srgbClr val="000000"/>
              </a:solidFill>
              <a:latin typeface="Calibri"/>
            </a:rPr>
            <a:t>(a) l’interesse lordo</a:t>
          </a:r>
        </a:p>
        <a:p>
          <a:pPr algn="l" rtl="0">
            <a:lnSpc>
              <a:spcPts val="1900"/>
            </a:lnSpc>
            <a:defRPr sz="1000"/>
          </a:pPr>
          <a:r>
            <a:rPr lang="it-IT" sz="1600" b="0" i="0" u="none" strike="noStrike" baseline="0">
              <a:solidFill>
                <a:srgbClr val="000000"/>
              </a:solidFill>
              <a:latin typeface="Calibri"/>
            </a:rPr>
            <a:t>(b) il prezzo di acquisto netto</a:t>
          </a:r>
        </a:p>
        <a:p>
          <a:pPr algn="l" rtl="0">
            <a:lnSpc>
              <a:spcPts val="1900"/>
            </a:lnSpc>
            <a:defRPr sz="1000"/>
          </a:pPr>
          <a:r>
            <a:rPr lang="it-IT" sz="1600" b="0" i="0" u="none" strike="noStrike" baseline="0">
              <a:solidFill>
                <a:srgbClr val="000000"/>
              </a:solidFill>
              <a:latin typeface="Calibri"/>
            </a:rPr>
            <a:t>(c) l’interesse netto</a:t>
          </a:r>
        </a:p>
        <a:p>
          <a:pPr algn="l" rtl="0">
            <a:lnSpc>
              <a:spcPts val="1900"/>
            </a:lnSpc>
            <a:defRPr sz="1000"/>
          </a:pPr>
          <a:endParaRPr lang="it-IT" sz="1600" b="0" i="0" u="none" strike="noStrike" baseline="0">
            <a:solidFill>
              <a:srgbClr val="000000"/>
            </a:solidFill>
            <a:latin typeface="Calibri"/>
          </a:endParaRPr>
        </a:p>
        <a:p>
          <a:pPr algn="l" rtl="0">
            <a:defRPr sz="1000"/>
          </a:pPr>
          <a:r>
            <a:rPr lang="it-IT" sz="1600" b="0" i="0" u="none" strike="noStrike" baseline="0">
              <a:solidFill>
                <a:srgbClr val="000000"/>
              </a:solidFill>
              <a:latin typeface="Calibri"/>
            </a:rPr>
            <a:t>Ipotizzando una sottostante legge di capitalizzazione esponenziale e misurando l’anno in giorni effettivi (365), calcolare al  netto della ritenuta fiscale le quantità:</a:t>
          </a:r>
        </a:p>
        <a:p>
          <a:pPr algn="l" rtl="0">
            <a:defRPr sz="1000"/>
          </a:pPr>
          <a:r>
            <a:rPr lang="it-IT" sz="1600" b="0" i="0" u="none" strike="noStrike" baseline="0">
              <a:solidFill>
                <a:srgbClr val="000000"/>
              </a:solidFill>
              <a:latin typeface="Calibri"/>
            </a:rPr>
            <a:t>(d) il tasso annuo di interesse</a:t>
          </a:r>
        </a:p>
        <a:p>
          <a:pPr algn="l" rtl="0">
            <a:defRPr sz="1000"/>
          </a:pPr>
          <a:r>
            <a:rPr lang="it-IT" sz="1600" b="0" i="0" u="none" strike="noStrike" baseline="0">
              <a:solidFill>
                <a:srgbClr val="000000"/>
              </a:solidFill>
              <a:latin typeface="Calibri"/>
            </a:rPr>
            <a:t>(e) l’intensità istantanea di interesse su base annua</a:t>
          </a:r>
        </a:p>
        <a:p>
          <a:pPr algn="l" rtl="0">
            <a:defRPr sz="1000"/>
          </a:pPr>
          <a:r>
            <a:rPr lang="it-IT" sz="1600" b="0" i="0" u="none" strike="noStrike" baseline="0">
              <a:solidFill>
                <a:srgbClr val="000000"/>
              </a:solidFill>
              <a:latin typeface="Calibri"/>
            </a:rPr>
            <a:t>(f) il tasso semestrale di interesse</a:t>
          </a:r>
        </a:p>
        <a:p>
          <a:pPr algn="l" rtl="0">
            <a:defRPr sz="1000"/>
          </a:pPr>
          <a:r>
            <a:rPr lang="it-IT" sz="1600" b="0" i="0" u="none" strike="noStrike" baseline="0">
              <a:solidFill>
                <a:srgbClr val="000000"/>
              </a:solidFill>
              <a:latin typeface="Calibri"/>
            </a:rPr>
            <a:t>(g) l’intensità istantanea di interesse su base semestrale</a:t>
          </a:r>
        </a:p>
        <a:p>
          <a:pPr algn="l" rtl="0">
            <a:defRPr sz="1000"/>
          </a:pPr>
          <a:endParaRPr lang="it-IT" sz="1600" b="0" i="0" u="none" strike="noStrike" baseline="0">
            <a:solidFill>
              <a:srgbClr val="000000"/>
            </a:solidFill>
            <a:latin typeface="Calibri"/>
          </a:endParaRPr>
        </a:p>
        <a:p>
          <a:pPr algn="l" rtl="0">
            <a:defRPr sz="1000"/>
          </a:pPr>
          <a:r>
            <a:rPr lang="it-IT" sz="1600" b="0" i="0" u="none" strike="noStrike" baseline="0">
              <a:solidFill>
                <a:srgbClr val="000000"/>
              </a:solidFill>
              <a:latin typeface="Calibri"/>
            </a:rPr>
            <a:t>Ipotizzando una sottostante legge di capitalizzazione lineare e misurando l’anno in giorni effettivi, calcolare al netto della  ritenuta fiscale le quantità:</a:t>
          </a:r>
        </a:p>
        <a:p>
          <a:pPr algn="l" rtl="0">
            <a:defRPr sz="1000"/>
          </a:pPr>
          <a:r>
            <a:rPr lang="it-IT" sz="1600" b="0" i="0" u="none" strike="noStrike" baseline="0">
              <a:solidFill>
                <a:srgbClr val="000000"/>
              </a:solidFill>
              <a:latin typeface="Calibri"/>
            </a:rPr>
            <a:t>(h) il tasso annuo di interesse:</a:t>
          </a:r>
        </a:p>
        <a:p>
          <a:pPr algn="l" rtl="0">
            <a:lnSpc>
              <a:spcPts val="1900"/>
            </a:lnSpc>
            <a:defRPr sz="1000"/>
          </a:pPr>
          <a:r>
            <a:rPr lang="it-IT" sz="1600" b="0" i="0" u="none" strike="noStrike" baseline="0">
              <a:solidFill>
                <a:srgbClr val="000000"/>
              </a:solidFill>
              <a:latin typeface="Calibri"/>
            </a:rPr>
            <a:t>(i) il tasso semestrale di interesse</a:t>
          </a:r>
        </a:p>
        <a:p>
          <a:pPr algn="l" rtl="0">
            <a:defRPr sz="1000"/>
          </a:pPr>
          <a:endParaRPr lang="it-IT" sz="1600" b="0" i="0" u="none" strike="noStrike" baseline="0">
            <a:solidFill>
              <a:srgbClr val="000000"/>
            </a:solidFill>
            <a:latin typeface="Calibri"/>
          </a:endParaRPr>
        </a:p>
        <a:p>
          <a:pPr algn="l" rtl="0">
            <a:defRPr sz="1000"/>
          </a:pPr>
          <a:endParaRPr lang="it-IT" sz="1600" b="0" i="0" u="none" strike="noStrike" baseline="0">
            <a:solidFill>
              <a:srgbClr val="000000"/>
            </a:solidFill>
            <a:latin typeface="Calibri"/>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5</xdr:row>
      <xdr:rowOff>161925</xdr:rowOff>
    </xdr:from>
    <xdr:to>
      <xdr:col>10</xdr:col>
      <xdr:colOff>95249</xdr:colOff>
      <xdr:row>12</xdr:row>
      <xdr:rowOff>219075</xdr:rowOff>
    </xdr:to>
    <xdr:pic>
      <xdr:nvPicPr>
        <xdr:cNvPr id="2" name="Immagin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190625"/>
          <a:ext cx="8995409" cy="1390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180975</xdr:colOff>
      <xdr:row>0</xdr:row>
      <xdr:rowOff>123825</xdr:rowOff>
    </xdr:from>
    <xdr:to>
      <xdr:col>6</xdr:col>
      <xdr:colOff>4562475</xdr:colOff>
      <xdr:row>11</xdr:row>
      <xdr:rowOff>47625</xdr:rowOff>
    </xdr:to>
    <xdr:sp macro="" textlink="">
      <xdr:nvSpPr>
        <xdr:cNvPr id="9217" name="Content Placeholder 4">
          <a:extLst>
            <a:ext uri="{FF2B5EF4-FFF2-40B4-BE49-F238E27FC236}">
              <a16:creationId xmlns:a16="http://schemas.microsoft.com/office/drawing/2014/main" id="{00000000-0008-0000-0600-000001240000}"/>
            </a:ext>
          </a:extLst>
        </xdr:cNvPr>
        <xdr:cNvSpPr>
          <a:spLocks/>
        </xdr:cNvSpPr>
      </xdr:nvSpPr>
      <xdr:spPr bwMode="auto">
        <a:xfrm>
          <a:off x="180975" y="123825"/>
          <a:ext cx="9020175" cy="2543175"/>
        </a:xfrm>
        <a:prstGeom prst="rect">
          <a:avLst/>
        </a:prstGeom>
        <a:solidFill>
          <a:srgbClr val="FFFFFF"/>
        </a:solidFill>
        <a:ln w="25400" algn="ctr">
          <a:solidFill>
            <a:srgbClr val="4F81BD"/>
          </a:solidFill>
          <a:miter lim="800000"/>
          <a:headEnd/>
          <a:tailEnd/>
        </a:ln>
      </xdr:spPr>
      <xdr:txBody>
        <a:bodyPr vertOverflow="clip" wrap="square" lIns="91440" tIns="45720" rIns="91440" bIns="45720" anchor="t" upright="1"/>
        <a:lstStyle/>
        <a:p>
          <a:pPr algn="l" rtl="0">
            <a:defRPr sz="1000"/>
          </a:pPr>
          <a:r>
            <a:rPr lang="it-IT" sz="1400" b="0" i="0" u="none" strike="noStrike" baseline="0">
              <a:solidFill>
                <a:srgbClr val="000000"/>
              </a:solidFill>
              <a:latin typeface="Calibri"/>
            </a:rPr>
            <a:t>Sia dato un capitale di W(t</a:t>
          </a:r>
          <a:r>
            <a:rPr lang="it-IT" sz="1400" b="0" i="0" u="none" strike="noStrike" baseline="-25000">
              <a:solidFill>
                <a:srgbClr val="000000"/>
              </a:solidFill>
              <a:latin typeface="Calibri"/>
            </a:rPr>
            <a:t>0</a:t>
          </a:r>
          <a:r>
            <a:rPr lang="it-IT" sz="1400" b="0" i="0" u="none" strike="noStrike" baseline="0">
              <a:solidFill>
                <a:srgbClr val="000000"/>
              </a:solidFill>
              <a:latin typeface="Calibri"/>
            </a:rPr>
            <a:t>)=150€ in t</a:t>
          </a:r>
          <a:r>
            <a:rPr lang="it-IT" sz="1400" b="0" i="0" u="none" strike="noStrike" baseline="-25000">
              <a:solidFill>
                <a:srgbClr val="000000"/>
              </a:solidFill>
              <a:latin typeface="Calibri"/>
            </a:rPr>
            <a:t>0</a:t>
          </a:r>
          <a:r>
            <a:rPr lang="it-IT" sz="1400" b="0" i="0" u="none" strike="noStrike" baseline="0">
              <a:solidFill>
                <a:srgbClr val="000000"/>
              </a:solidFill>
              <a:latin typeface="Calibri"/>
            </a:rPr>
            <a:t>= 0 . Si determini l’interesse che esso produce in tre anni (t</a:t>
          </a:r>
          <a:r>
            <a:rPr lang="it-IT" sz="1400" b="0" i="0" u="none" strike="noStrike" baseline="-25000">
              <a:solidFill>
                <a:srgbClr val="000000"/>
              </a:solidFill>
              <a:latin typeface="Calibri"/>
            </a:rPr>
            <a:t>1</a:t>
          </a:r>
          <a:r>
            <a:rPr lang="it-IT" sz="1400" b="0" i="0" u="none" strike="noStrike" baseline="0">
              <a:solidFill>
                <a:srgbClr val="000000"/>
              </a:solidFill>
              <a:latin typeface="Calibri"/>
            </a:rPr>
            <a:t>= 3 anni) se investito:</a:t>
          </a:r>
        </a:p>
        <a:p>
          <a:pPr algn="l" rtl="0">
            <a:defRPr sz="1000"/>
          </a:pPr>
          <a:endParaRPr lang="it-IT" sz="1400" b="0" i="0" u="none" strike="noStrike" baseline="0">
            <a:solidFill>
              <a:srgbClr val="000000"/>
            </a:solidFill>
            <a:latin typeface="Calibri"/>
          </a:endParaRPr>
        </a:p>
        <a:p>
          <a:pPr algn="l" rtl="0">
            <a:defRPr sz="1000"/>
          </a:pPr>
          <a:r>
            <a:rPr lang="it-IT" sz="1400" b="0" i="0" u="none" strike="noStrike" baseline="0">
              <a:solidFill>
                <a:srgbClr val="000000"/>
              </a:solidFill>
              <a:latin typeface="Calibri"/>
            </a:rPr>
            <a:t>in regime di capitalizzazione esponenziale</a:t>
          </a:r>
        </a:p>
        <a:p>
          <a:pPr algn="l" rtl="0">
            <a:defRPr sz="1000"/>
          </a:pPr>
          <a:r>
            <a:rPr lang="it-IT" sz="1400" b="0" i="0" u="none" strike="noStrike" baseline="0">
              <a:solidFill>
                <a:srgbClr val="000000"/>
              </a:solidFill>
              <a:latin typeface="Calibri"/>
            </a:rPr>
            <a:t>(a) al tasso semestrale di interesse del 6%</a:t>
          </a:r>
        </a:p>
        <a:p>
          <a:pPr algn="l" rtl="0">
            <a:defRPr sz="1000"/>
          </a:pPr>
          <a:r>
            <a:rPr lang="it-IT" sz="1400" b="0" i="0" u="none" strike="noStrike" baseline="0">
              <a:solidFill>
                <a:srgbClr val="000000"/>
              </a:solidFill>
              <a:latin typeface="Calibri"/>
            </a:rPr>
            <a:t>(b) al tasso annuo di interesse dell’11,5%</a:t>
          </a:r>
        </a:p>
        <a:p>
          <a:pPr algn="l" rtl="0">
            <a:defRPr sz="1000"/>
          </a:pPr>
          <a:r>
            <a:rPr lang="it-IT" sz="1400" b="0" i="0" u="none" strike="noStrike" baseline="0">
              <a:solidFill>
                <a:srgbClr val="000000"/>
              </a:solidFill>
              <a:latin typeface="Calibri"/>
            </a:rPr>
            <a:t>(c) secondo una legge di intensità istantanea di interesse  = 0,12 anni^-1</a:t>
          </a:r>
        </a:p>
        <a:p>
          <a:pPr algn="l" rtl="0">
            <a:defRPr sz="1000"/>
          </a:pPr>
          <a:endParaRPr lang="it-IT" sz="1400" b="0" i="0" u="none" strike="noStrike" baseline="0">
            <a:solidFill>
              <a:srgbClr val="000000"/>
            </a:solidFill>
            <a:latin typeface="Calibri"/>
          </a:endParaRPr>
        </a:p>
        <a:p>
          <a:pPr algn="l" rtl="0">
            <a:defRPr sz="1000"/>
          </a:pPr>
          <a:r>
            <a:rPr lang="it-IT" sz="1400" b="0" i="0" u="none" strike="noStrike" baseline="0">
              <a:solidFill>
                <a:srgbClr val="000000"/>
              </a:solidFill>
              <a:latin typeface="Calibri"/>
            </a:rPr>
            <a:t>in regime di capitalizzazione lineare</a:t>
          </a:r>
        </a:p>
        <a:p>
          <a:pPr algn="l" rtl="0">
            <a:defRPr sz="1000"/>
          </a:pPr>
          <a:r>
            <a:rPr lang="it-IT" sz="1400" b="0" i="0" u="none" strike="noStrike" baseline="0">
              <a:solidFill>
                <a:srgbClr val="000000"/>
              </a:solidFill>
              <a:latin typeface="Calibri"/>
            </a:rPr>
            <a:t>(d) al tasso semestrale di interesse del 6%</a:t>
          </a:r>
        </a:p>
        <a:p>
          <a:pPr algn="l" rtl="0">
            <a:defRPr sz="1000"/>
          </a:pPr>
          <a:r>
            <a:rPr lang="it-IT" sz="1400" b="0" i="0" u="none" strike="noStrike" baseline="0">
              <a:solidFill>
                <a:srgbClr val="000000"/>
              </a:solidFill>
              <a:latin typeface="Calibri"/>
            </a:rPr>
            <a:t>(e) al tasso annuo di interesse dell’11,5%</a:t>
          </a:r>
        </a:p>
        <a:p>
          <a:pPr algn="l" rtl="0">
            <a:defRPr sz="1000"/>
          </a:pPr>
          <a:endParaRPr lang="it-IT" sz="1400" b="0" i="0" u="none" strike="noStrike" baseline="0">
            <a:solidFill>
              <a:srgbClr val="000000"/>
            </a:solidFill>
            <a:latin typeface="Calibri"/>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409574</xdr:colOff>
      <xdr:row>0</xdr:row>
      <xdr:rowOff>66675</xdr:rowOff>
    </xdr:from>
    <xdr:to>
      <xdr:col>11</xdr:col>
      <xdr:colOff>266699</xdr:colOff>
      <xdr:row>6</xdr:row>
      <xdr:rowOff>57150</xdr:rowOff>
    </xdr:to>
    <xdr:sp macro="" textlink="">
      <xdr:nvSpPr>
        <xdr:cNvPr id="11" name="Content Placeholder 4">
          <a:extLst>
            <a:ext uri="{FF2B5EF4-FFF2-40B4-BE49-F238E27FC236}">
              <a16:creationId xmlns:a16="http://schemas.microsoft.com/office/drawing/2014/main" id="{00000000-0008-0000-0700-00000B000000}"/>
            </a:ext>
          </a:extLst>
        </xdr:cNvPr>
        <xdr:cNvSpPr>
          <a:spLocks/>
        </xdr:cNvSpPr>
      </xdr:nvSpPr>
      <xdr:spPr bwMode="auto">
        <a:xfrm>
          <a:off x="533399" y="66675"/>
          <a:ext cx="8848725" cy="1133475"/>
        </a:xfrm>
        <a:prstGeom prst="rect">
          <a:avLst/>
        </a:prstGeom>
        <a:solidFill>
          <a:srgbClr val="FFFFFF"/>
        </a:solidFill>
        <a:ln w="25400" algn="ctr">
          <a:solidFill>
            <a:srgbClr val="4F81BD"/>
          </a:solidFill>
          <a:miter lim="800000"/>
          <a:headEnd/>
          <a:tailEnd/>
        </a:ln>
      </xdr:spPr>
      <xdr:txBody>
        <a:bodyPr vertOverflow="clip" wrap="square" lIns="36576" tIns="32004" rIns="0" bIns="0" anchor="t" upright="1"/>
        <a:lstStyle/>
        <a:p>
          <a:pPr algn="l" rtl="0">
            <a:defRPr sz="1000"/>
          </a:pPr>
          <a:r>
            <a:rPr lang="it-IT" sz="1500" b="0" i="0" u="none" strike="noStrike" baseline="0">
              <a:solidFill>
                <a:srgbClr val="000000"/>
              </a:solidFill>
              <a:latin typeface="+mn-lt"/>
            </a:rPr>
            <a:t>Si consideri l'operazione finanziaria consistente nell'investire all'istante t=0 la somma x</a:t>
          </a:r>
          <a:r>
            <a:rPr lang="it-IT" sz="1500" b="0" i="0" u="none" strike="noStrike" baseline="-25000">
              <a:solidFill>
                <a:srgbClr val="000000"/>
              </a:solidFill>
              <a:latin typeface="+mn-lt"/>
            </a:rPr>
            <a:t>t</a:t>
          </a:r>
          <a:r>
            <a:rPr lang="it-IT" sz="1500" b="0" i="0" u="none" strike="noStrike" baseline="0">
              <a:solidFill>
                <a:srgbClr val="000000"/>
              </a:solidFill>
              <a:latin typeface="+mn-lt"/>
            </a:rPr>
            <a:t>=120 € per rientrare in possesso all'istante s&gt;t della somma x</a:t>
          </a:r>
          <a:r>
            <a:rPr lang="it-IT" sz="1500" b="0" i="0" u="none" strike="noStrike" baseline="-25000">
              <a:solidFill>
                <a:srgbClr val="000000"/>
              </a:solidFill>
              <a:latin typeface="+mn-lt"/>
            </a:rPr>
            <a:t>s</a:t>
          </a:r>
          <a:r>
            <a:rPr lang="it-IT" sz="1500" b="0" i="0" u="none" strike="noStrike" baseline="0">
              <a:solidFill>
                <a:srgbClr val="000000"/>
              </a:solidFill>
              <a:latin typeface="+mn-lt"/>
            </a:rPr>
            <a:t>=m(t,s)x</a:t>
          </a:r>
          <a:r>
            <a:rPr lang="it-IT" sz="1500" b="0" i="0" u="none" strike="noStrike" baseline="-25000">
              <a:solidFill>
                <a:srgbClr val="000000"/>
              </a:solidFill>
              <a:latin typeface="+mn-lt"/>
            </a:rPr>
            <a:t>t</a:t>
          </a:r>
          <a:r>
            <a:rPr lang="it-IT" sz="1500" b="0" i="0" u="none" strike="noStrike" baseline="0">
              <a:solidFill>
                <a:srgbClr val="000000"/>
              </a:solidFill>
              <a:latin typeface="+mn-lt"/>
            </a:rPr>
            <a:t>, essendo il tempo misurato in anni. Se il tasso di interesse annuo è pari a i(0,1)=2%, si valuti la somma x</a:t>
          </a:r>
          <a:r>
            <a:rPr lang="it-IT" sz="1500" b="0" i="0" u="none" strike="noStrike" baseline="-25000">
              <a:solidFill>
                <a:srgbClr val="000000"/>
              </a:solidFill>
              <a:latin typeface="+mn-lt"/>
            </a:rPr>
            <a:t>s</a:t>
          </a:r>
          <a:r>
            <a:rPr lang="it-IT" sz="1500" b="0" i="0" u="none" strike="noStrike" baseline="0">
              <a:solidFill>
                <a:srgbClr val="000000"/>
              </a:solidFill>
              <a:latin typeface="+mn-lt"/>
            </a:rPr>
            <a:t>, secondo le leggi di capitalizzazione lineare ed esponenziale, per s=3 mesi e s=2 anni. </a:t>
          </a:r>
          <a:endParaRPr lang="it-IT" sz="1400" b="0" i="0" u="none" strike="noStrike" baseline="0">
            <a:solidFill>
              <a:srgbClr val="000000"/>
            </a:solidFill>
            <a:latin typeface="Calibri"/>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1</xdr:row>
      <xdr:rowOff>28575</xdr:rowOff>
    </xdr:from>
    <xdr:to>
      <xdr:col>8</xdr:col>
      <xdr:colOff>1066800</xdr:colOff>
      <xdr:row>23</xdr:row>
      <xdr:rowOff>123825</xdr:rowOff>
    </xdr:to>
    <xdr:sp macro="" textlink="">
      <xdr:nvSpPr>
        <xdr:cNvPr id="13322" name="Content Placeholder 4">
          <a:extLst>
            <a:ext uri="{FF2B5EF4-FFF2-40B4-BE49-F238E27FC236}">
              <a16:creationId xmlns:a16="http://schemas.microsoft.com/office/drawing/2014/main" id="{00000000-0008-0000-0800-00000A340000}"/>
            </a:ext>
          </a:extLst>
        </xdr:cNvPr>
        <xdr:cNvSpPr>
          <a:spLocks/>
        </xdr:cNvSpPr>
      </xdr:nvSpPr>
      <xdr:spPr bwMode="auto">
        <a:xfrm>
          <a:off x="171450" y="219075"/>
          <a:ext cx="9048750" cy="4286250"/>
        </a:xfrm>
        <a:prstGeom prst="rect">
          <a:avLst/>
        </a:prstGeom>
        <a:solidFill>
          <a:srgbClr val="FFFFFF"/>
        </a:solidFill>
        <a:ln w="25400" algn="ctr">
          <a:solidFill>
            <a:srgbClr val="4F81BD"/>
          </a:solidFill>
          <a:miter lim="800000"/>
          <a:headEnd/>
          <a:tailEnd/>
        </a:ln>
      </xdr:spPr>
      <xdr:txBody>
        <a:bodyPr vertOverflow="clip" wrap="square" lIns="36576" tIns="32004" rIns="0" bIns="0" anchor="t" upright="1"/>
        <a:lstStyle/>
        <a:p>
          <a:pPr algn="l" rtl="0">
            <a:defRPr sz="1000"/>
          </a:pPr>
          <a:r>
            <a:rPr lang="it-IT" sz="1600" b="0" i="0" u="none" strike="noStrike" baseline="0">
              <a:solidFill>
                <a:srgbClr val="000000"/>
              </a:solidFill>
              <a:latin typeface="Calibri"/>
            </a:rPr>
            <a:t>Sia dato un contratto finanziario che in t0 = 0 abbia valore W(t0) = 97,8 € e dopo 95 giorni abbia valore </a:t>
          </a:r>
        </a:p>
        <a:p>
          <a:pPr algn="l" rtl="0">
            <a:defRPr sz="1000"/>
          </a:pPr>
          <a:r>
            <a:rPr lang="it-IT" sz="1600" b="0" i="0" u="none" strike="noStrike" baseline="0">
              <a:solidFill>
                <a:srgbClr val="000000"/>
              </a:solidFill>
              <a:latin typeface="Calibri"/>
            </a:rPr>
            <a:t>W(t1)=101,5 €. Relativamente al periodo [0; 95],calcolare:</a:t>
          </a:r>
        </a:p>
        <a:p>
          <a:pPr algn="l" rtl="0">
            <a:defRPr sz="1000"/>
          </a:pPr>
          <a:r>
            <a:rPr lang="it-IT" sz="1600" b="0" i="0" u="none" strike="noStrike" baseline="0">
              <a:solidFill>
                <a:srgbClr val="000000"/>
              </a:solidFill>
              <a:latin typeface="Calibri"/>
            </a:rPr>
            <a:t>(a) l’interesse (in €)</a:t>
          </a:r>
        </a:p>
        <a:p>
          <a:pPr algn="l" rtl="0">
            <a:defRPr sz="1000"/>
          </a:pPr>
          <a:r>
            <a:rPr lang="it-IT" sz="1600" b="0" i="0" u="none" strike="noStrike" baseline="0">
              <a:solidFill>
                <a:srgbClr val="000000"/>
              </a:solidFill>
              <a:latin typeface="Calibri"/>
            </a:rPr>
            <a:t>(b) il tasso di interesse (%)</a:t>
          </a:r>
        </a:p>
        <a:p>
          <a:pPr algn="l" rtl="0">
            <a:defRPr sz="1000"/>
          </a:pPr>
          <a:r>
            <a:rPr lang="it-IT" sz="1600" b="0" i="0" u="none" strike="noStrike" baseline="0">
              <a:solidFill>
                <a:srgbClr val="000000"/>
              </a:solidFill>
              <a:latin typeface="Calibri"/>
            </a:rPr>
            <a:t>(c) il tasso di sconto (%)</a:t>
          </a:r>
        </a:p>
        <a:p>
          <a:pPr algn="l" rtl="0">
            <a:defRPr sz="1000"/>
          </a:pPr>
          <a:r>
            <a:rPr lang="it-IT" sz="1600" b="0" i="0" u="none" strike="noStrike" baseline="0">
              <a:solidFill>
                <a:srgbClr val="000000"/>
              </a:solidFill>
              <a:latin typeface="Calibri"/>
            </a:rPr>
            <a:t>(d) l’intensità di interesse (in giorni^−1)</a:t>
          </a:r>
        </a:p>
        <a:p>
          <a:pPr algn="l" rtl="0">
            <a:defRPr sz="1000"/>
          </a:pPr>
          <a:r>
            <a:rPr lang="it-IT" sz="1600" b="0" i="0" u="none" strike="noStrike" baseline="0">
              <a:solidFill>
                <a:srgbClr val="000000"/>
              </a:solidFill>
              <a:latin typeface="Calibri"/>
            </a:rPr>
            <a:t>(e) l’intensità di sconto (in giorni^−1)</a:t>
          </a:r>
        </a:p>
        <a:p>
          <a:pPr algn="l" rtl="0">
            <a:defRPr sz="1000"/>
          </a:pPr>
          <a:r>
            <a:rPr lang="it-IT" sz="1600" b="0" i="0" u="none" strike="noStrike" baseline="0">
              <a:solidFill>
                <a:srgbClr val="000000"/>
              </a:solidFill>
              <a:latin typeface="Calibri"/>
            </a:rPr>
            <a:t>Ipotizzando una sottostante legge di capitalizzazione esponenziale e misurando l’anno in giorni effettivi </a:t>
          </a:r>
        </a:p>
        <a:p>
          <a:pPr algn="l" rtl="0">
            <a:defRPr sz="1000"/>
          </a:pPr>
          <a:r>
            <a:rPr lang="it-IT" sz="1600" b="0" i="0" u="none" strike="noStrike" baseline="0">
              <a:solidFill>
                <a:srgbClr val="000000"/>
              </a:solidFill>
              <a:latin typeface="Calibri"/>
            </a:rPr>
            <a:t>(365), calcolare:</a:t>
          </a:r>
        </a:p>
        <a:p>
          <a:pPr algn="l" rtl="0">
            <a:defRPr sz="1000"/>
          </a:pPr>
          <a:r>
            <a:rPr lang="it-IT" sz="1600" b="0" i="0" u="none" strike="noStrike" baseline="0">
              <a:solidFill>
                <a:srgbClr val="000000"/>
              </a:solidFill>
              <a:latin typeface="Calibri"/>
            </a:rPr>
            <a:t>(f) il tasso annuo di interesse (%)</a:t>
          </a:r>
        </a:p>
        <a:p>
          <a:pPr algn="l" rtl="0">
            <a:defRPr sz="1000"/>
          </a:pPr>
          <a:r>
            <a:rPr lang="it-IT" sz="1600" b="0" i="0" u="none" strike="noStrike" baseline="0">
              <a:solidFill>
                <a:srgbClr val="000000"/>
              </a:solidFill>
              <a:latin typeface="Calibri"/>
              <a:ea typeface="+mn-ea"/>
              <a:cs typeface="+mn-cs"/>
            </a:rPr>
            <a:t>(f1) l’intensità istantanea di interesse su base annua (in anni^−1)</a:t>
          </a:r>
        </a:p>
        <a:p>
          <a:pPr algn="l" rtl="0">
            <a:defRPr sz="1000"/>
          </a:pPr>
          <a:r>
            <a:rPr lang="it-IT" sz="1600" b="0" i="0" u="none" strike="noStrike" baseline="0">
              <a:solidFill>
                <a:srgbClr val="000000"/>
              </a:solidFill>
              <a:latin typeface="Calibri"/>
            </a:rPr>
            <a:t>(g) il tasso semestrale di interesse (%)</a:t>
          </a:r>
        </a:p>
        <a:p>
          <a:pPr algn="l" rtl="0">
            <a:defRPr sz="1000"/>
          </a:pPr>
          <a:r>
            <a:rPr lang="it-IT" sz="1600" b="0" i="0" u="none" strike="noStrike" baseline="0">
              <a:solidFill>
                <a:srgbClr val="000000"/>
              </a:solidFill>
              <a:latin typeface="Calibri"/>
              <a:ea typeface="+mn-ea"/>
              <a:cs typeface="+mn-cs"/>
            </a:rPr>
            <a:t>(g1) l’intensità istantanea di interesse su base semestrale (in semestri^−1)</a:t>
          </a:r>
        </a:p>
        <a:p>
          <a:pPr algn="l" rtl="0">
            <a:defRPr sz="1000"/>
          </a:pPr>
          <a:r>
            <a:rPr lang="it-IT" sz="1600" b="0" i="0" u="none" strike="noStrike" baseline="0">
              <a:solidFill>
                <a:srgbClr val="000000"/>
              </a:solidFill>
              <a:latin typeface="Calibri"/>
            </a:rPr>
            <a:t>Ipotizzando una sottostante legge di capitalizzazione lineare e misurando l’anno in giorni effettivi, </a:t>
          </a:r>
        </a:p>
        <a:p>
          <a:pPr algn="l" rtl="0">
            <a:defRPr sz="1000"/>
          </a:pPr>
          <a:r>
            <a:rPr lang="it-IT" sz="1600" b="0" i="0" u="none" strike="noStrike" baseline="0">
              <a:solidFill>
                <a:srgbClr val="000000"/>
              </a:solidFill>
              <a:latin typeface="Calibri"/>
            </a:rPr>
            <a:t>calcolare:</a:t>
          </a:r>
        </a:p>
        <a:p>
          <a:pPr algn="l" rtl="0">
            <a:defRPr sz="1000"/>
          </a:pPr>
          <a:r>
            <a:rPr lang="it-IT" sz="1600" b="0" i="0" u="none" strike="noStrike" baseline="0">
              <a:solidFill>
                <a:srgbClr val="000000"/>
              </a:solidFill>
              <a:latin typeface="Calibri"/>
            </a:rPr>
            <a:t>(h) il tasso annuo di interesse (%)</a:t>
          </a:r>
        </a:p>
        <a:p>
          <a:pPr algn="l" rtl="0">
            <a:defRPr sz="1000"/>
          </a:pPr>
          <a:r>
            <a:rPr lang="it-IT" sz="1600" b="0" i="0" u="none" strike="noStrike" baseline="0">
              <a:solidFill>
                <a:srgbClr val="000000"/>
              </a:solidFill>
              <a:latin typeface="Calibri"/>
            </a:rPr>
            <a:t>(i) il tasso semestrale di interesse (%)</a:t>
          </a:r>
        </a:p>
        <a:p>
          <a:pPr algn="l" rtl="0">
            <a:defRPr sz="1000"/>
          </a:pPr>
          <a:endParaRPr lang="it-IT" sz="1400" b="0" i="0" u="none" strike="noStrike" baseline="0">
            <a:solidFill>
              <a:srgbClr val="000000"/>
            </a:solidFill>
            <a:latin typeface="Calibri"/>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438149</xdr:colOff>
      <xdr:row>0</xdr:row>
      <xdr:rowOff>95249</xdr:rowOff>
    </xdr:from>
    <xdr:to>
      <xdr:col>10</xdr:col>
      <xdr:colOff>38100</xdr:colOff>
      <xdr:row>24</xdr:row>
      <xdr:rowOff>57149</xdr:rowOff>
    </xdr:to>
    <xdr:sp macro="" textlink="">
      <xdr:nvSpPr>
        <xdr:cNvPr id="2058" name="Content Placeholder 4">
          <a:extLst>
            <a:ext uri="{FF2B5EF4-FFF2-40B4-BE49-F238E27FC236}">
              <a16:creationId xmlns:a16="http://schemas.microsoft.com/office/drawing/2014/main" id="{00000000-0008-0000-0900-00000A080000}"/>
            </a:ext>
          </a:extLst>
        </xdr:cNvPr>
        <xdr:cNvSpPr>
          <a:spLocks/>
        </xdr:cNvSpPr>
      </xdr:nvSpPr>
      <xdr:spPr bwMode="auto">
        <a:xfrm>
          <a:off x="438149" y="95249"/>
          <a:ext cx="10287001" cy="4429125"/>
        </a:xfrm>
        <a:prstGeom prst="rect">
          <a:avLst/>
        </a:prstGeom>
        <a:solidFill>
          <a:srgbClr val="FFFFFF"/>
        </a:solidFill>
        <a:ln w="25400" algn="ctr">
          <a:solidFill>
            <a:srgbClr val="4F81BD"/>
          </a:solidFill>
          <a:miter lim="800000"/>
          <a:headEnd/>
          <a:tailEnd/>
        </a:ln>
      </xdr:spPr>
      <xdr:txBody>
        <a:bodyPr vertOverflow="clip" wrap="square" lIns="91440" tIns="45720" rIns="91440" bIns="45720" anchor="t" upright="1"/>
        <a:lstStyle/>
        <a:p>
          <a:pPr algn="l" rtl="0">
            <a:defRPr sz="1000"/>
          </a:pPr>
          <a:r>
            <a:rPr lang="it-IT" sz="1600" b="0" i="0" u="none" strike="noStrike" baseline="0">
              <a:solidFill>
                <a:srgbClr val="000000"/>
              </a:solidFill>
              <a:latin typeface="Calibri"/>
            </a:rPr>
            <a:t>Determinare il valore W(t0) in t0 = 0 di un contratto finanziario che in t1 = 120 giorni garantisce 100 €, in modo che il tasso di interesse relativo al periodo [0; 120] sia del 3,63%.</a:t>
          </a:r>
        </a:p>
        <a:p>
          <a:pPr algn="l" rtl="0">
            <a:defRPr sz="1000"/>
          </a:pPr>
          <a:r>
            <a:rPr lang="it-IT" sz="1600" b="0" i="0" u="none" strike="noStrike" baseline="0">
              <a:solidFill>
                <a:srgbClr val="000000"/>
              </a:solidFill>
              <a:latin typeface="Calibri"/>
            </a:rPr>
            <a:t>(a) W(t0) </a:t>
          </a:r>
        </a:p>
        <a:p>
          <a:pPr algn="l" rtl="0">
            <a:defRPr sz="1000"/>
          </a:pPr>
          <a:r>
            <a:rPr lang="it-IT" sz="1600" b="0" i="0" u="none" strike="noStrike" baseline="0">
              <a:solidFill>
                <a:srgbClr val="000000"/>
              </a:solidFill>
              <a:latin typeface="Calibri"/>
            </a:rPr>
            <a:t>Relativamente al periodo [0; 120] , calcolare:</a:t>
          </a:r>
        </a:p>
        <a:p>
          <a:pPr algn="l" rtl="0">
            <a:defRPr sz="1000"/>
          </a:pPr>
          <a:r>
            <a:rPr lang="it-IT" sz="1600" b="0" i="0" u="none" strike="noStrike" baseline="0">
              <a:solidFill>
                <a:srgbClr val="000000"/>
              </a:solidFill>
              <a:latin typeface="Calibri"/>
            </a:rPr>
            <a:t>(b) l’interesse (in €)</a:t>
          </a:r>
        </a:p>
        <a:p>
          <a:pPr algn="l" rtl="0">
            <a:defRPr sz="1000"/>
          </a:pPr>
          <a:r>
            <a:rPr lang="it-IT" sz="1600" b="0" i="0" u="none" strike="noStrike" baseline="0">
              <a:solidFill>
                <a:srgbClr val="000000"/>
              </a:solidFill>
              <a:latin typeface="Calibri"/>
            </a:rPr>
            <a:t>(c) il tasso di sconto (%)</a:t>
          </a:r>
        </a:p>
        <a:p>
          <a:pPr algn="l" rtl="0">
            <a:defRPr sz="1000"/>
          </a:pPr>
          <a:r>
            <a:rPr lang="it-IT" sz="1600" b="0" i="0" u="none" strike="noStrike" baseline="0">
              <a:solidFill>
                <a:srgbClr val="000000"/>
              </a:solidFill>
              <a:latin typeface="Calibri"/>
            </a:rPr>
            <a:t>(d) l’intensità di interesse (in giorni^−1)</a:t>
          </a:r>
        </a:p>
        <a:p>
          <a:pPr algn="l" rtl="0">
            <a:defRPr sz="1000"/>
          </a:pPr>
          <a:r>
            <a:rPr lang="it-IT" sz="1600" b="0" i="0" u="none" strike="noStrike" baseline="0">
              <a:solidFill>
                <a:srgbClr val="000000"/>
              </a:solidFill>
              <a:latin typeface="Calibri"/>
            </a:rPr>
            <a:t>(e) l’intensità di sconto (in giorni^−1)</a:t>
          </a:r>
        </a:p>
        <a:p>
          <a:pPr algn="l" rtl="0">
            <a:defRPr sz="1000"/>
          </a:pPr>
          <a:r>
            <a:rPr lang="it-IT" sz="1600" b="0" i="0" u="none" strike="noStrike" baseline="0">
              <a:solidFill>
                <a:srgbClr val="000000"/>
              </a:solidFill>
              <a:latin typeface="Calibri"/>
            </a:rPr>
            <a:t>Ipotizzando una sottostante legge di capitalizzazione esponenziale e misurando l’anno in giorni effettivi (365), calcolare:</a:t>
          </a:r>
        </a:p>
        <a:p>
          <a:pPr algn="l" rtl="0">
            <a:defRPr sz="1000"/>
          </a:pPr>
          <a:r>
            <a:rPr lang="it-IT" sz="1600" b="0" i="0" u="none" strike="noStrike" baseline="0">
              <a:solidFill>
                <a:srgbClr val="000000"/>
              </a:solidFill>
              <a:latin typeface="Calibri"/>
            </a:rPr>
            <a:t> (f) il tasso annuo di interesse (%)</a:t>
          </a:r>
        </a:p>
        <a:p>
          <a:pPr algn="l" rtl="0">
            <a:defRPr sz="1000"/>
          </a:pPr>
          <a:r>
            <a:rPr lang="it-IT" sz="1600" b="0" i="0" u="none" strike="noStrike" baseline="0">
              <a:solidFill>
                <a:srgbClr val="000000"/>
              </a:solidFill>
              <a:latin typeface="Calibri"/>
              <a:ea typeface="+mn-ea"/>
              <a:cs typeface="+mn-cs"/>
            </a:rPr>
            <a:t>(f1) l’intensità istantanea di interesse su base annua (in anni^−1)</a:t>
          </a:r>
        </a:p>
        <a:p>
          <a:pPr algn="l" rtl="0">
            <a:defRPr sz="1000"/>
          </a:pPr>
          <a:r>
            <a:rPr lang="it-IT" sz="1600" b="0" i="0" u="none" strike="noStrike" baseline="0">
              <a:solidFill>
                <a:srgbClr val="000000"/>
              </a:solidFill>
              <a:latin typeface="Calibri"/>
              <a:ea typeface="+mn-ea"/>
              <a:cs typeface="+mn-cs"/>
            </a:rPr>
            <a:t>(g) il tasso semestrale di interesse (%)</a:t>
          </a:r>
        </a:p>
        <a:p>
          <a:pPr algn="l" rtl="0">
            <a:defRPr sz="1000"/>
          </a:pPr>
          <a:r>
            <a:rPr lang="it-IT" sz="1600" b="0" i="0" u="none" strike="noStrike" baseline="0">
              <a:solidFill>
                <a:srgbClr val="000000"/>
              </a:solidFill>
              <a:latin typeface="Calibri"/>
              <a:ea typeface="+mn-ea"/>
              <a:cs typeface="+mn-cs"/>
            </a:rPr>
            <a:t>(g1) l’intensità istantanea di interesse su base semestrale (in semestri^−1)</a:t>
          </a:r>
        </a:p>
        <a:p>
          <a:pPr algn="l" rtl="0">
            <a:defRPr sz="1000"/>
          </a:pPr>
          <a:r>
            <a:rPr lang="it-IT" sz="1600" b="0" i="0" u="none" strike="noStrike" baseline="0">
              <a:solidFill>
                <a:srgbClr val="000000"/>
              </a:solidFill>
              <a:latin typeface="Calibri"/>
            </a:rPr>
            <a:t>Ipotizzando una sottostante legge di capitalizzazione lineare e misurando l’anno in giorni effettivi, calcolare:</a:t>
          </a:r>
        </a:p>
        <a:p>
          <a:pPr algn="l" rtl="0">
            <a:defRPr sz="1000"/>
          </a:pPr>
          <a:r>
            <a:rPr lang="it-IT" sz="1600" b="0" i="0" u="none" strike="noStrike" baseline="0">
              <a:solidFill>
                <a:srgbClr val="000000"/>
              </a:solidFill>
              <a:latin typeface="Calibri"/>
            </a:rPr>
            <a:t> (h) il tasso annuo di interesse (%)</a:t>
          </a:r>
        </a:p>
        <a:p>
          <a:pPr algn="l" rtl="0">
            <a:defRPr sz="1000"/>
          </a:pPr>
          <a:r>
            <a:rPr lang="it-IT" sz="1600" b="0" i="0" u="none" strike="noStrike" baseline="0">
              <a:solidFill>
                <a:srgbClr val="000000"/>
              </a:solidFill>
              <a:latin typeface="Calibri"/>
            </a:rPr>
            <a:t>(i) il tasso semestrale di interesse (%)</a:t>
          </a:r>
        </a:p>
        <a:p>
          <a:pPr algn="l" rtl="0">
            <a:defRPr sz="1000"/>
          </a:pPr>
          <a:endParaRPr lang="it-IT" sz="1600" b="0" i="0" u="none" strike="noStrike" baseline="0">
            <a:solidFill>
              <a:srgbClr val="000000"/>
            </a:solidFill>
            <a:latin typeface="Calibri"/>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26670</xdr:colOff>
      <xdr:row>0</xdr:row>
      <xdr:rowOff>15240</xdr:rowOff>
    </xdr:from>
    <xdr:to>
      <xdr:col>8</xdr:col>
      <xdr:colOff>1611630</xdr:colOff>
      <xdr:row>24</xdr:row>
      <xdr:rowOff>57150</xdr:rowOff>
    </xdr:to>
    <xdr:sp macro="" textlink="">
      <xdr:nvSpPr>
        <xdr:cNvPr id="3082" name="Content Placeholder 4">
          <a:extLst>
            <a:ext uri="{FF2B5EF4-FFF2-40B4-BE49-F238E27FC236}">
              <a16:creationId xmlns:a16="http://schemas.microsoft.com/office/drawing/2014/main" id="{00000000-0008-0000-0A00-00000A0C0000}"/>
            </a:ext>
          </a:extLst>
        </xdr:cNvPr>
        <xdr:cNvSpPr>
          <a:spLocks/>
        </xdr:cNvSpPr>
      </xdr:nvSpPr>
      <xdr:spPr bwMode="auto">
        <a:xfrm>
          <a:off x="26670" y="15240"/>
          <a:ext cx="10119360" cy="4385310"/>
        </a:xfrm>
        <a:prstGeom prst="rect">
          <a:avLst/>
        </a:prstGeom>
        <a:solidFill>
          <a:srgbClr val="FFFFFF"/>
        </a:solidFill>
        <a:ln w="25400" algn="ctr">
          <a:solidFill>
            <a:srgbClr val="4F81BD"/>
          </a:solidFill>
          <a:miter lim="800000"/>
          <a:headEnd/>
          <a:tailEnd/>
        </a:ln>
      </xdr:spPr>
      <xdr:txBody>
        <a:bodyPr vertOverflow="clip" wrap="square" lIns="91440" tIns="45720" rIns="91440" bIns="45720" anchor="t" upright="1"/>
        <a:lstStyle/>
        <a:p>
          <a:pPr algn="l" rtl="0">
            <a:defRPr sz="1000"/>
          </a:pPr>
          <a:r>
            <a:rPr lang="it-IT" sz="1500" b="0" i="0" u="none" strike="noStrike" baseline="0">
              <a:solidFill>
                <a:srgbClr val="000000"/>
              </a:solidFill>
              <a:latin typeface="Calibri"/>
              <a:ea typeface="+mn-ea"/>
              <a:cs typeface="+mn-cs"/>
            </a:rPr>
            <a:t>Determinare il pagamento W(t1) che deve prevedere in t1 = 150 giorni un contratto finanziario, che in </a:t>
          </a:r>
        </a:p>
        <a:p>
          <a:pPr algn="l" rtl="0">
            <a:defRPr sz="1000"/>
          </a:pPr>
          <a:r>
            <a:rPr lang="it-IT" sz="1500" b="0" i="0" u="none" strike="noStrike" baseline="0">
              <a:solidFill>
                <a:srgbClr val="000000"/>
              </a:solidFill>
              <a:latin typeface="Calibri"/>
              <a:ea typeface="+mn-ea"/>
              <a:cs typeface="+mn-cs"/>
            </a:rPr>
            <a:t>t0 = 0 giorni  vale 100 €, in modo che il tasso di interesse relativo al periodo [0; 150] sia del 4,25%.</a:t>
          </a:r>
        </a:p>
        <a:p>
          <a:pPr algn="l" rtl="0">
            <a:defRPr sz="1000"/>
          </a:pPr>
          <a:r>
            <a:rPr lang="it-IT" sz="1500" b="0" i="0" u="none" strike="noStrike" baseline="0">
              <a:solidFill>
                <a:srgbClr val="000000"/>
              </a:solidFill>
              <a:latin typeface="Calibri"/>
              <a:ea typeface="+mn-ea"/>
              <a:cs typeface="+mn-cs"/>
            </a:rPr>
            <a:t>(a) W(t1) </a:t>
          </a:r>
        </a:p>
        <a:p>
          <a:pPr algn="l" rtl="0">
            <a:defRPr sz="1000"/>
          </a:pPr>
          <a:r>
            <a:rPr lang="it-IT" sz="1500" b="0" i="0" u="none" strike="noStrike" baseline="0">
              <a:solidFill>
                <a:srgbClr val="000000"/>
              </a:solidFill>
              <a:latin typeface="Calibri"/>
              <a:ea typeface="+mn-ea"/>
              <a:cs typeface="+mn-cs"/>
            </a:rPr>
            <a:t>Relativamente al periodo [0; 150] , calcolare:</a:t>
          </a:r>
        </a:p>
        <a:p>
          <a:pPr algn="l" rtl="0">
            <a:defRPr sz="1000"/>
          </a:pPr>
          <a:r>
            <a:rPr lang="it-IT" sz="1500" b="0" i="0" u="none" strike="noStrike" baseline="0">
              <a:solidFill>
                <a:srgbClr val="000000"/>
              </a:solidFill>
              <a:latin typeface="Calibri"/>
              <a:ea typeface="+mn-ea"/>
              <a:cs typeface="+mn-cs"/>
            </a:rPr>
            <a:t>(b) l’interesse (in €)</a:t>
          </a:r>
        </a:p>
        <a:p>
          <a:pPr algn="l" rtl="0">
            <a:defRPr sz="1000"/>
          </a:pPr>
          <a:r>
            <a:rPr lang="it-IT" sz="1500" b="0" i="0" u="none" strike="noStrike" baseline="0">
              <a:solidFill>
                <a:srgbClr val="000000"/>
              </a:solidFill>
              <a:latin typeface="Calibri"/>
              <a:ea typeface="+mn-ea"/>
              <a:cs typeface="+mn-cs"/>
            </a:rPr>
            <a:t>(c) il tasso di sconto (%)</a:t>
          </a:r>
        </a:p>
        <a:p>
          <a:pPr algn="l" rtl="0">
            <a:defRPr sz="1000"/>
          </a:pPr>
          <a:r>
            <a:rPr lang="it-IT" sz="1500" b="0" i="0" u="none" strike="noStrike" baseline="0">
              <a:solidFill>
                <a:srgbClr val="000000"/>
              </a:solidFill>
              <a:latin typeface="Calibri"/>
              <a:ea typeface="+mn-ea"/>
              <a:cs typeface="+mn-cs"/>
            </a:rPr>
            <a:t>(d) l’intensità di interesse (in giorni^−1)</a:t>
          </a:r>
        </a:p>
        <a:p>
          <a:pPr algn="l" rtl="0">
            <a:defRPr sz="1000"/>
          </a:pPr>
          <a:r>
            <a:rPr lang="it-IT" sz="1500" b="0" i="0" u="none" strike="noStrike" baseline="0">
              <a:solidFill>
                <a:srgbClr val="000000"/>
              </a:solidFill>
              <a:latin typeface="Calibri"/>
              <a:ea typeface="+mn-ea"/>
              <a:cs typeface="+mn-cs"/>
            </a:rPr>
            <a:t>(e) l’intensità di sconto (in giorni^−1)</a:t>
          </a:r>
        </a:p>
        <a:p>
          <a:pPr algn="l" rtl="0">
            <a:defRPr sz="1000"/>
          </a:pPr>
          <a:r>
            <a:rPr lang="it-IT" sz="1500" b="0" i="0" u="none" strike="noStrike" baseline="0">
              <a:solidFill>
                <a:srgbClr val="000000"/>
              </a:solidFill>
              <a:latin typeface="Calibri"/>
              <a:ea typeface="+mn-ea"/>
              <a:cs typeface="+mn-cs"/>
            </a:rPr>
            <a:t>Ipotizzando una sottostante legge di capitalizzazione esponenziale e misurando l’anno in giorni effettivi </a:t>
          </a:r>
        </a:p>
        <a:p>
          <a:pPr algn="l" rtl="0">
            <a:defRPr sz="1000"/>
          </a:pPr>
          <a:r>
            <a:rPr lang="it-IT" sz="1500" b="0" i="0" u="none" strike="noStrike" baseline="0">
              <a:solidFill>
                <a:srgbClr val="000000"/>
              </a:solidFill>
              <a:latin typeface="Calibri"/>
              <a:ea typeface="+mn-ea"/>
              <a:cs typeface="+mn-cs"/>
            </a:rPr>
            <a:t>(365), calcolare:</a:t>
          </a:r>
        </a:p>
        <a:p>
          <a:pPr algn="l" rtl="0">
            <a:defRPr sz="1000"/>
          </a:pPr>
          <a:r>
            <a:rPr lang="it-IT" sz="1500" b="0" i="0" u="none" strike="noStrike" baseline="0">
              <a:solidFill>
                <a:srgbClr val="000000"/>
              </a:solidFill>
              <a:latin typeface="Calibri"/>
              <a:ea typeface="+mn-ea"/>
              <a:cs typeface="+mn-cs"/>
            </a:rPr>
            <a:t> (f) il tasso annuo di interesse (%)</a:t>
          </a:r>
        </a:p>
        <a:p>
          <a:pPr algn="l" rtl="0">
            <a:defRPr sz="1000"/>
          </a:pPr>
          <a:r>
            <a:rPr lang="it-IT" sz="1500" b="0" i="0" u="none" strike="noStrike" baseline="0">
              <a:solidFill>
                <a:srgbClr val="000000"/>
              </a:solidFill>
              <a:latin typeface="Calibri"/>
              <a:ea typeface="+mn-ea"/>
              <a:cs typeface="+mn-cs"/>
            </a:rPr>
            <a:t>(f1) l’intensità istantanea di interesse su base annua (in anni^−1)</a:t>
          </a:r>
        </a:p>
        <a:p>
          <a:pPr algn="l" rtl="0">
            <a:defRPr sz="1000"/>
          </a:pPr>
          <a:r>
            <a:rPr lang="it-IT" sz="1500" b="0" i="0" u="none" strike="noStrike" baseline="0">
              <a:solidFill>
                <a:srgbClr val="000000"/>
              </a:solidFill>
              <a:latin typeface="Calibri"/>
              <a:ea typeface="+mn-ea"/>
              <a:cs typeface="+mn-cs"/>
            </a:rPr>
            <a:t>(g) il tasso semestrale di interesse (%)</a:t>
          </a:r>
        </a:p>
        <a:p>
          <a:pPr algn="l" rtl="0">
            <a:defRPr sz="1000"/>
          </a:pPr>
          <a:r>
            <a:rPr lang="it-IT" sz="1500" b="0" i="0" u="none" strike="noStrike" baseline="0">
              <a:solidFill>
                <a:srgbClr val="000000"/>
              </a:solidFill>
              <a:latin typeface="Calibri"/>
              <a:ea typeface="+mn-ea"/>
              <a:cs typeface="+mn-cs"/>
            </a:rPr>
            <a:t>(g1) l’intensità istantanea di interesse su base semestrale (in semestri^−1)</a:t>
          </a:r>
        </a:p>
        <a:p>
          <a:pPr algn="l" rtl="0">
            <a:defRPr sz="1000"/>
          </a:pPr>
          <a:r>
            <a:rPr lang="it-IT" sz="1500" b="0" i="0" u="none" strike="noStrike" baseline="0">
              <a:solidFill>
                <a:srgbClr val="000000"/>
              </a:solidFill>
              <a:latin typeface="Calibri"/>
              <a:ea typeface="+mn-ea"/>
              <a:cs typeface="+mn-cs"/>
            </a:rPr>
            <a:t>Ipotizzando una sottostante legge di capitalizzazione lineare e misurando l’anno in giorni effettivi, </a:t>
          </a:r>
        </a:p>
        <a:p>
          <a:pPr algn="l" rtl="0">
            <a:defRPr sz="1000"/>
          </a:pPr>
          <a:r>
            <a:rPr lang="it-IT" sz="1500" b="0" i="0" u="none" strike="noStrike" baseline="0">
              <a:solidFill>
                <a:srgbClr val="000000"/>
              </a:solidFill>
              <a:latin typeface="Calibri"/>
              <a:ea typeface="+mn-ea"/>
              <a:cs typeface="+mn-cs"/>
            </a:rPr>
            <a:t>calcolare:</a:t>
          </a:r>
        </a:p>
        <a:p>
          <a:pPr algn="l" rtl="0">
            <a:defRPr sz="1000"/>
          </a:pPr>
          <a:r>
            <a:rPr lang="it-IT" sz="1500" b="0" i="0" u="none" strike="noStrike" baseline="0">
              <a:solidFill>
                <a:srgbClr val="000000"/>
              </a:solidFill>
              <a:latin typeface="Calibri"/>
              <a:ea typeface="+mn-ea"/>
              <a:cs typeface="+mn-cs"/>
            </a:rPr>
            <a:t> (h) il tasso annuo di interesse (%)</a:t>
          </a:r>
        </a:p>
        <a:p>
          <a:pPr algn="l" rtl="0">
            <a:defRPr sz="1000"/>
          </a:pPr>
          <a:r>
            <a:rPr lang="it-IT" sz="1500" b="0" i="0" u="none" strike="noStrike" baseline="0">
              <a:solidFill>
                <a:srgbClr val="000000"/>
              </a:solidFill>
              <a:latin typeface="Calibri"/>
              <a:ea typeface="+mn-ea"/>
              <a:cs typeface="+mn-cs"/>
            </a:rPr>
            <a:t>(i) il tasso semestrale di interesse (%)</a:t>
          </a:r>
        </a:p>
        <a:p>
          <a:pPr algn="l" rtl="0">
            <a:defRPr sz="1000"/>
          </a:pPr>
          <a:endParaRPr lang="it-IT" sz="1300" b="0" i="0" u="none" strike="noStrike" baseline="0">
            <a:solidFill>
              <a:srgbClr val="000000"/>
            </a:solidFill>
            <a:latin typeface="Calibri"/>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Foglio28"/>
  <dimension ref="B10:D19"/>
  <sheetViews>
    <sheetView topLeftCell="AV1" workbookViewId="0">
      <selection activeCell="F21" sqref="F21"/>
    </sheetView>
  </sheetViews>
  <sheetFormatPr defaultColWidth="9.109375" defaultRowHeight="18" x14ac:dyDescent="0.35"/>
  <cols>
    <col min="1" max="1" width="4" style="4" customWidth="1"/>
    <col min="2" max="2" width="22.88671875" style="4" bestFit="1" customWidth="1"/>
    <col min="3" max="3" width="13.6640625" style="4" bestFit="1" customWidth="1"/>
    <col min="4" max="4" width="9.109375" style="4"/>
    <col min="5" max="5" width="5.33203125" style="4" bestFit="1" customWidth="1"/>
    <col min="6" max="6" width="57.88671875" style="4" customWidth="1"/>
    <col min="7" max="7" width="11.44140625" style="4" customWidth="1"/>
    <col min="8" max="8" width="14.5546875" style="4" bestFit="1" customWidth="1"/>
    <col min="9" max="9" width="9.6640625" style="4" bestFit="1" customWidth="1"/>
    <col min="10" max="10" width="10.33203125" style="4" bestFit="1" customWidth="1"/>
    <col min="11" max="16384" width="9.109375" style="4"/>
  </cols>
  <sheetData>
    <row r="10" spans="2:4" x14ac:dyDescent="0.35">
      <c r="B10" s="15" t="s">
        <v>0</v>
      </c>
      <c r="C10" s="16"/>
      <c r="D10" s="16"/>
    </row>
    <row r="11" spans="2:4" x14ac:dyDescent="0.35">
      <c r="B11" s="19" t="s">
        <v>1</v>
      </c>
      <c r="C11" s="39">
        <f>2+3/12</f>
        <v>2.25</v>
      </c>
      <c r="D11" s="18"/>
    </row>
    <row r="12" spans="2:4" x14ac:dyDescent="0.35">
      <c r="B12" s="19" t="s">
        <v>83</v>
      </c>
      <c r="C12" s="40" t="s">
        <v>84</v>
      </c>
      <c r="D12" s="18"/>
    </row>
    <row r="14" spans="2:4" x14ac:dyDescent="0.35">
      <c r="B14" s="42" t="s">
        <v>62</v>
      </c>
      <c r="C14" s="77">
        <f>1</f>
        <v>1</v>
      </c>
    </row>
    <row r="15" spans="2:4" x14ac:dyDescent="0.35">
      <c r="B15" s="42" t="s">
        <v>45</v>
      </c>
      <c r="C15" s="77">
        <f>C14/(1+C14)</f>
        <v>0.5</v>
      </c>
    </row>
    <row r="17" spans="2:3" x14ac:dyDescent="0.35">
      <c r="B17" s="42" t="s">
        <v>38</v>
      </c>
      <c r="C17" s="47"/>
    </row>
    <row r="18" spans="2:3" x14ac:dyDescent="0.35">
      <c r="B18" s="42" t="s">
        <v>85</v>
      </c>
      <c r="C18" s="48">
        <f>(1+C14)^(1/C11)-1</f>
        <v>0.3607900001743769</v>
      </c>
    </row>
    <row r="19" spans="2:3" x14ac:dyDescent="0.35">
      <c r="B19" s="42" t="s">
        <v>15</v>
      </c>
      <c r="C19" s="48">
        <f>(1+C18)^(1/2)-1</f>
        <v>0.16652903957611653</v>
      </c>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oglio10"/>
  <dimension ref="B2:O56"/>
  <sheetViews>
    <sheetView zoomScaleNormal="100" workbookViewId="0">
      <selection activeCell="D20" sqref="D20"/>
    </sheetView>
  </sheetViews>
  <sheetFormatPr defaultRowHeight="14.4" x14ac:dyDescent="0.3"/>
  <cols>
    <col min="3" max="3" width="15" bestFit="1" customWidth="1"/>
    <col min="4" max="4" width="19.5546875" bestFit="1" customWidth="1"/>
  </cols>
  <sheetData>
    <row r="2" spans="2:15" ht="15" customHeight="1" x14ac:dyDescent="0.3">
      <c r="B2" s="138" t="s">
        <v>171</v>
      </c>
      <c r="C2" s="138"/>
      <c r="D2" s="138"/>
      <c r="E2" s="138"/>
      <c r="F2" s="138"/>
      <c r="G2" s="138"/>
      <c r="H2" s="138"/>
      <c r="I2" s="138"/>
      <c r="J2" s="138"/>
      <c r="K2" s="138"/>
      <c r="L2" s="138"/>
      <c r="M2" s="138"/>
      <c r="N2" s="138"/>
      <c r="O2" s="138"/>
    </row>
    <row r="3" spans="2:15" ht="15" customHeight="1" x14ac:dyDescent="0.3">
      <c r="B3" s="138"/>
      <c r="C3" s="138"/>
      <c r="D3" s="138"/>
      <c r="E3" s="138"/>
      <c r="F3" s="138"/>
      <c r="G3" s="138"/>
      <c r="H3" s="138"/>
      <c r="I3" s="138"/>
      <c r="J3" s="138"/>
      <c r="K3" s="138"/>
      <c r="L3" s="138"/>
      <c r="M3" s="138"/>
      <c r="N3" s="138"/>
      <c r="O3" s="138"/>
    </row>
    <row r="4" spans="2:15" ht="15" customHeight="1" x14ac:dyDescent="0.3">
      <c r="B4" s="138"/>
      <c r="C4" s="138"/>
      <c r="D4" s="138"/>
      <c r="E4" s="138"/>
      <c r="F4" s="138"/>
      <c r="G4" s="138"/>
      <c r="H4" s="138"/>
      <c r="I4" s="138"/>
      <c r="J4" s="138"/>
      <c r="K4" s="138"/>
      <c r="L4" s="138"/>
      <c r="M4" s="138"/>
      <c r="N4" s="138"/>
      <c r="O4" s="138"/>
    </row>
    <row r="5" spans="2:15" ht="15" customHeight="1" x14ac:dyDescent="0.3">
      <c r="B5" s="138"/>
      <c r="C5" s="138"/>
      <c r="D5" s="138"/>
      <c r="E5" s="138"/>
      <c r="F5" s="138"/>
      <c r="G5" s="138"/>
      <c r="H5" s="138"/>
      <c r="I5" s="138"/>
      <c r="J5" s="138"/>
      <c r="K5" s="138"/>
      <c r="L5" s="138"/>
      <c r="M5" s="138"/>
      <c r="N5" s="138"/>
      <c r="O5" s="138"/>
    </row>
    <row r="6" spans="2:15" ht="15" customHeight="1" x14ac:dyDescent="0.3">
      <c r="B6" s="138"/>
      <c r="C6" s="138"/>
      <c r="D6" s="138"/>
      <c r="E6" s="138"/>
      <c r="F6" s="138"/>
      <c r="G6" s="138"/>
      <c r="H6" s="138"/>
      <c r="I6" s="138"/>
      <c r="J6" s="138"/>
      <c r="K6" s="138"/>
      <c r="L6" s="138"/>
      <c r="M6" s="138"/>
      <c r="N6" s="138"/>
      <c r="O6" s="138"/>
    </row>
    <row r="7" spans="2:15" ht="15" customHeight="1" x14ac:dyDescent="0.3">
      <c r="B7" s="138"/>
      <c r="C7" s="138"/>
      <c r="D7" s="138"/>
      <c r="E7" s="138"/>
      <c r="F7" s="138"/>
      <c r="G7" s="138"/>
      <c r="H7" s="138"/>
      <c r="I7" s="138"/>
      <c r="J7" s="138"/>
      <c r="K7" s="138"/>
      <c r="L7" s="138"/>
      <c r="M7" s="138"/>
      <c r="N7" s="138"/>
      <c r="O7" s="138"/>
    </row>
    <row r="8" spans="2:15" ht="15" customHeight="1" x14ac:dyDescent="0.3">
      <c r="B8" s="138"/>
      <c r="C8" s="138"/>
      <c r="D8" s="138"/>
      <c r="E8" s="138"/>
      <c r="F8" s="138"/>
      <c r="G8" s="138"/>
      <c r="H8" s="138"/>
      <c r="I8" s="138"/>
      <c r="J8" s="138"/>
      <c r="K8" s="138"/>
      <c r="L8" s="138"/>
      <c r="M8" s="138"/>
      <c r="N8" s="138"/>
      <c r="O8" s="138"/>
    </row>
    <row r="9" spans="2:15" ht="15" customHeight="1" x14ac:dyDescent="0.3">
      <c r="B9" s="138"/>
      <c r="C9" s="138"/>
      <c r="D9" s="138"/>
      <c r="E9" s="138"/>
      <c r="F9" s="138"/>
      <c r="G9" s="138"/>
      <c r="H9" s="138"/>
      <c r="I9" s="138"/>
      <c r="J9" s="138"/>
      <c r="K9" s="138"/>
      <c r="L9" s="138"/>
      <c r="M9" s="138"/>
      <c r="N9" s="138"/>
      <c r="O9" s="138"/>
    </row>
    <row r="10" spans="2:15" ht="15" customHeight="1" x14ac:dyDescent="0.3">
      <c r="B10" s="138"/>
      <c r="C10" s="138"/>
      <c r="D10" s="138"/>
      <c r="E10" s="138"/>
      <c r="F10" s="138"/>
      <c r="G10" s="138"/>
      <c r="H10" s="138"/>
      <c r="I10" s="138"/>
      <c r="J10" s="138"/>
      <c r="K10" s="138"/>
      <c r="L10" s="138"/>
      <c r="M10" s="138"/>
      <c r="N10" s="138"/>
      <c r="O10" s="138"/>
    </row>
    <row r="11" spans="2:15" ht="15" customHeight="1" x14ac:dyDescent="0.3">
      <c r="B11" s="138"/>
      <c r="C11" s="138"/>
      <c r="D11" s="138"/>
      <c r="E11" s="138"/>
      <c r="F11" s="138"/>
      <c r="G11" s="138"/>
      <c r="H11" s="138"/>
      <c r="I11" s="138"/>
      <c r="J11" s="138"/>
      <c r="K11" s="138"/>
      <c r="L11" s="138"/>
      <c r="M11" s="138"/>
      <c r="N11" s="138"/>
      <c r="O11" s="138"/>
    </row>
    <row r="12" spans="2:15" ht="15" customHeight="1" x14ac:dyDescent="0.3">
      <c r="B12" s="138"/>
      <c r="C12" s="138"/>
      <c r="D12" s="138"/>
      <c r="E12" s="138"/>
      <c r="F12" s="138"/>
      <c r="G12" s="138"/>
      <c r="H12" s="138"/>
      <c r="I12" s="138"/>
      <c r="J12" s="138"/>
      <c r="K12" s="138"/>
      <c r="L12" s="138"/>
      <c r="M12" s="138"/>
      <c r="N12" s="138"/>
      <c r="O12" s="138"/>
    </row>
    <row r="13" spans="2:15" ht="15" customHeight="1" x14ac:dyDescent="0.3">
      <c r="B13" s="138"/>
      <c r="C13" s="138"/>
      <c r="D13" s="138"/>
      <c r="E13" s="138"/>
      <c r="F13" s="138"/>
      <c r="G13" s="138"/>
      <c r="H13" s="138"/>
      <c r="I13" s="138"/>
      <c r="J13" s="138"/>
      <c r="K13" s="138"/>
      <c r="L13" s="138"/>
      <c r="M13" s="138"/>
      <c r="N13" s="138"/>
      <c r="O13" s="138"/>
    </row>
    <row r="14" spans="2:15" ht="15" customHeight="1" x14ac:dyDescent="0.3">
      <c r="B14" s="138"/>
      <c r="C14" s="138"/>
      <c r="D14" s="138"/>
      <c r="E14" s="138"/>
      <c r="F14" s="138"/>
      <c r="G14" s="138"/>
      <c r="H14" s="138"/>
      <c r="I14" s="138"/>
      <c r="J14" s="138"/>
      <c r="K14" s="138"/>
      <c r="L14" s="138"/>
      <c r="M14" s="138"/>
      <c r="N14" s="138"/>
      <c r="O14" s="138"/>
    </row>
    <row r="15" spans="2:15" ht="15" customHeight="1" x14ac:dyDescent="0.3">
      <c r="B15" s="138"/>
      <c r="C15" s="138"/>
      <c r="D15" s="138"/>
      <c r="E15" s="138"/>
      <c r="F15" s="138"/>
      <c r="G15" s="138"/>
      <c r="H15" s="138"/>
      <c r="I15" s="138"/>
      <c r="J15" s="138"/>
      <c r="K15" s="138"/>
      <c r="L15" s="138"/>
      <c r="M15" s="138"/>
      <c r="N15" s="138"/>
      <c r="O15" s="138"/>
    </row>
    <row r="16" spans="2:15" ht="15" customHeight="1" x14ac:dyDescent="0.3">
      <c r="B16" s="138"/>
      <c r="C16" s="138"/>
      <c r="D16" s="138"/>
      <c r="E16" s="138"/>
      <c r="F16" s="138"/>
      <c r="G16" s="138"/>
      <c r="H16" s="138"/>
      <c r="I16" s="138"/>
      <c r="J16" s="138"/>
      <c r="K16" s="138"/>
      <c r="L16" s="138"/>
      <c r="M16" s="138"/>
      <c r="N16" s="138"/>
      <c r="O16" s="138"/>
    </row>
    <row r="17" spans="2:15" x14ac:dyDescent="0.3">
      <c r="B17" s="138"/>
      <c r="C17" s="138"/>
      <c r="D17" s="138"/>
      <c r="E17" s="138"/>
      <c r="F17" s="138"/>
      <c r="G17" s="138"/>
      <c r="H17" s="138"/>
      <c r="I17" s="138"/>
      <c r="J17" s="138"/>
      <c r="K17" s="138"/>
      <c r="L17" s="138"/>
      <c r="M17" s="138"/>
      <c r="N17" s="138"/>
      <c r="O17" s="138"/>
    </row>
    <row r="18" spans="2:15" x14ac:dyDescent="0.3">
      <c r="B18" s="138"/>
      <c r="C18" s="138"/>
      <c r="D18" s="138"/>
      <c r="E18" s="138"/>
      <c r="F18" s="138"/>
      <c r="G18" s="138"/>
      <c r="H18" s="138"/>
      <c r="I18" s="138"/>
      <c r="J18" s="138"/>
      <c r="K18" s="138"/>
      <c r="L18" s="138"/>
      <c r="M18" s="138"/>
      <c r="N18" s="138"/>
      <c r="O18" s="138"/>
    </row>
    <row r="20" spans="2:15" ht="21" x14ac:dyDescent="0.4">
      <c r="B20" s="21"/>
      <c r="C20" s="21"/>
      <c r="D20" s="21"/>
      <c r="E20" s="21"/>
      <c r="F20" s="21"/>
      <c r="G20" s="21"/>
      <c r="H20" s="21"/>
      <c r="I20" s="21"/>
      <c r="J20" s="21"/>
      <c r="K20" s="21"/>
      <c r="L20" s="21"/>
      <c r="M20" s="21"/>
      <c r="N20" s="21"/>
      <c r="O20" s="21"/>
    </row>
    <row r="21" spans="2:15" ht="21" x14ac:dyDescent="0.4">
      <c r="B21" s="21"/>
      <c r="C21" s="26" t="s">
        <v>172</v>
      </c>
      <c r="D21" s="100">
        <v>100000</v>
      </c>
      <c r="E21" s="21"/>
      <c r="F21" s="21"/>
      <c r="G21" s="21"/>
      <c r="H21" s="21"/>
      <c r="I21" s="21"/>
      <c r="J21" s="21"/>
      <c r="K21" s="21"/>
      <c r="L21" s="21"/>
      <c r="M21" s="21"/>
      <c r="N21" s="21"/>
      <c r="O21" s="21"/>
    </row>
    <row r="22" spans="2:15" ht="21" x14ac:dyDescent="0.4">
      <c r="B22" s="21"/>
      <c r="C22" s="26" t="s">
        <v>154</v>
      </c>
      <c r="D22" s="25">
        <v>4</v>
      </c>
      <c r="E22" s="21"/>
      <c r="F22" s="21"/>
      <c r="G22" s="21"/>
      <c r="H22" s="21"/>
      <c r="I22" s="21"/>
      <c r="J22" s="21"/>
      <c r="K22" s="21"/>
      <c r="L22" s="21"/>
      <c r="M22" s="21"/>
      <c r="N22" s="21"/>
      <c r="O22" s="21"/>
    </row>
    <row r="23" spans="2:15" ht="21" x14ac:dyDescent="0.4">
      <c r="B23" s="21"/>
      <c r="C23" s="26" t="s">
        <v>67</v>
      </c>
      <c r="D23" s="104">
        <v>9.5000000000000001E-2</v>
      </c>
      <c r="E23" s="21"/>
      <c r="F23" s="21"/>
      <c r="G23" s="21"/>
      <c r="H23" s="21"/>
      <c r="I23" s="21"/>
      <c r="J23" s="21"/>
      <c r="K23" s="21"/>
      <c r="L23" s="21"/>
      <c r="M23" s="21"/>
      <c r="N23" s="21"/>
      <c r="O23" s="21"/>
    </row>
    <row r="24" spans="2:15" ht="21" x14ac:dyDescent="0.4">
      <c r="B24" s="21"/>
      <c r="C24" s="26" t="s">
        <v>68</v>
      </c>
      <c r="D24" s="104">
        <v>0.09</v>
      </c>
      <c r="E24" s="21"/>
      <c r="F24" s="21"/>
      <c r="G24" s="21"/>
      <c r="H24" s="21"/>
      <c r="I24" s="21"/>
      <c r="J24" s="21"/>
      <c r="K24" s="21"/>
      <c r="L24" s="21"/>
      <c r="M24" s="21"/>
      <c r="N24" s="21"/>
      <c r="O24" s="21"/>
    </row>
    <row r="25" spans="2:15" ht="21" x14ac:dyDescent="0.4">
      <c r="B25" s="21"/>
      <c r="C25" s="21"/>
      <c r="D25" s="21"/>
      <c r="E25" s="21"/>
      <c r="F25" s="21"/>
      <c r="G25" s="21"/>
      <c r="H25" s="21"/>
      <c r="I25" s="21"/>
      <c r="J25" s="21"/>
      <c r="K25" s="21"/>
      <c r="L25" s="21"/>
      <c r="M25" s="21"/>
      <c r="N25" s="21"/>
      <c r="O25" s="21"/>
    </row>
    <row r="26" spans="2:15" ht="21" x14ac:dyDescent="0.4">
      <c r="B26" s="21"/>
      <c r="C26" s="21" t="s">
        <v>83</v>
      </c>
      <c r="D26" s="108">
        <f>D21*(1+D23*D22)</f>
        <v>138000</v>
      </c>
      <c r="E26" s="21"/>
      <c r="F26" s="21"/>
      <c r="G26" s="21"/>
      <c r="H26" s="21"/>
      <c r="I26" s="21"/>
      <c r="J26" s="21"/>
      <c r="K26" s="21"/>
      <c r="L26" s="21"/>
      <c r="M26" s="21"/>
      <c r="N26" s="21"/>
      <c r="O26" s="21"/>
    </row>
    <row r="27" spans="2:15" ht="21" x14ac:dyDescent="0.4">
      <c r="B27" s="21"/>
      <c r="C27" s="21" t="s">
        <v>68</v>
      </c>
      <c r="D27" s="120">
        <f>(D26/D21)^(1/D22)-1</f>
        <v>8.3851471580434378E-2</v>
      </c>
      <c r="E27" s="21"/>
      <c r="F27" s="21"/>
      <c r="G27" s="21"/>
      <c r="H27" s="21"/>
      <c r="I27" s="21"/>
      <c r="J27" s="21"/>
      <c r="K27" s="21"/>
      <c r="L27" s="21"/>
      <c r="M27" s="21"/>
      <c r="N27" s="21"/>
      <c r="O27" s="21"/>
    </row>
    <row r="28" spans="2:15" ht="21" x14ac:dyDescent="0.4">
      <c r="B28" s="21"/>
      <c r="C28" s="21"/>
      <c r="D28" s="120"/>
      <c r="E28" s="21"/>
      <c r="F28" s="21"/>
      <c r="G28" s="21"/>
      <c r="H28" s="21"/>
      <c r="I28" s="21"/>
      <c r="J28" s="21"/>
      <c r="K28" s="21"/>
      <c r="L28" s="21"/>
      <c r="M28" s="21"/>
      <c r="N28" s="21"/>
      <c r="O28" s="21"/>
    </row>
    <row r="29" spans="2:15" ht="21" x14ac:dyDescent="0.4">
      <c r="B29" s="21"/>
      <c r="C29" s="138" t="s">
        <v>173</v>
      </c>
      <c r="D29" s="138"/>
      <c r="E29" s="138"/>
      <c r="F29" s="138"/>
      <c r="G29" s="138"/>
      <c r="H29" s="138"/>
      <c r="I29" s="138"/>
      <c r="J29" s="138"/>
      <c r="K29" s="138"/>
      <c r="L29" s="138"/>
      <c r="M29" s="138"/>
      <c r="N29" s="138"/>
      <c r="O29" s="21"/>
    </row>
    <row r="30" spans="2:15" ht="21" x14ac:dyDescent="0.4">
      <c r="B30" s="21"/>
      <c r="C30" s="21"/>
      <c r="D30" s="120"/>
      <c r="E30" s="21"/>
      <c r="F30" s="21"/>
      <c r="G30" s="21"/>
      <c r="H30" s="21"/>
      <c r="I30" s="21"/>
      <c r="J30" s="21"/>
      <c r="K30" s="21"/>
      <c r="L30" s="21"/>
      <c r="M30" s="21"/>
      <c r="N30" s="21"/>
      <c r="O30" s="21"/>
    </row>
    <row r="31" spans="2:15" ht="21" x14ac:dyDescent="0.4">
      <c r="B31" s="21"/>
      <c r="C31" s="21" t="s">
        <v>57</v>
      </c>
      <c r="D31" s="108">
        <f>D21*((1+D24)^D22-1)</f>
        <v>41158.161000000029</v>
      </c>
      <c r="E31" s="21"/>
      <c r="F31" s="21"/>
      <c r="G31" s="21"/>
      <c r="H31" s="21"/>
      <c r="I31" s="21"/>
      <c r="J31" s="21"/>
      <c r="K31" s="21"/>
      <c r="L31" s="21"/>
      <c r="M31" s="21"/>
      <c r="N31" s="21"/>
      <c r="O31" s="21"/>
    </row>
    <row r="32" spans="2:15" ht="21" x14ac:dyDescent="0.4">
      <c r="B32" s="21"/>
      <c r="C32" s="21"/>
      <c r="D32" s="21"/>
      <c r="E32" s="21"/>
      <c r="F32" s="21"/>
      <c r="G32" s="21"/>
      <c r="H32" s="21"/>
      <c r="I32" s="21"/>
      <c r="J32" s="21"/>
      <c r="K32" s="21"/>
      <c r="L32" s="21"/>
      <c r="M32" s="21"/>
      <c r="N32" s="21"/>
      <c r="O32" s="21"/>
    </row>
    <row r="33" spans="2:15" ht="21" x14ac:dyDescent="0.4">
      <c r="B33" s="21"/>
      <c r="C33" s="21"/>
      <c r="D33" s="21"/>
      <c r="E33" s="21"/>
      <c r="F33" s="21"/>
      <c r="G33" s="21"/>
      <c r="H33" s="21"/>
      <c r="I33" s="21"/>
      <c r="J33" s="21"/>
      <c r="K33" s="21"/>
      <c r="L33" s="21"/>
      <c r="M33" s="21"/>
      <c r="N33" s="21"/>
      <c r="O33" s="21"/>
    </row>
    <row r="34" spans="2:15" ht="21" x14ac:dyDescent="0.4">
      <c r="B34" s="21"/>
      <c r="C34" s="21"/>
      <c r="D34" s="21"/>
      <c r="E34" s="21"/>
      <c r="F34" s="21"/>
      <c r="G34" s="21"/>
      <c r="H34" s="21"/>
      <c r="I34" s="21"/>
      <c r="J34" s="21"/>
      <c r="K34" s="21"/>
      <c r="L34" s="21"/>
      <c r="M34" s="21"/>
      <c r="N34" s="21"/>
      <c r="O34" s="21"/>
    </row>
    <row r="35" spans="2:15" ht="21" x14ac:dyDescent="0.4">
      <c r="B35" s="21"/>
      <c r="C35" s="21"/>
      <c r="D35" s="21"/>
      <c r="E35" s="21"/>
      <c r="F35" s="21"/>
      <c r="G35" s="21"/>
      <c r="H35" s="21"/>
      <c r="I35" s="21"/>
      <c r="J35" s="21"/>
      <c r="K35" s="21"/>
      <c r="L35" s="21"/>
      <c r="M35" s="21"/>
      <c r="N35" s="21"/>
      <c r="O35" s="21"/>
    </row>
    <row r="36" spans="2:15" ht="21" x14ac:dyDescent="0.4">
      <c r="B36" s="21"/>
      <c r="C36" s="21"/>
      <c r="D36" s="21"/>
      <c r="E36" s="21"/>
      <c r="F36" s="21"/>
      <c r="G36" s="21"/>
      <c r="H36" s="21"/>
      <c r="I36" s="21"/>
      <c r="J36" s="21"/>
      <c r="K36" s="21"/>
      <c r="L36" s="21"/>
      <c r="M36" s="21"/>
      <c r="N36" s="21"/>
      <c r="O36" s="21"/>
    </row>
    <row r="37" spans="2:15" ht="21" x14ac:dyDescent="0.4">
      <c r="B37" s="21"/>
      <c r="C37" s="21"/>
      <c r="D37" s="21"/>
      <c r="E37" s="21"/>
      <c r="F37" s="21"/>
      <c r="G37" s="21"/>
      <c r="H37" s="21"/>
      <c r="I37" s="21"/>
      <c r="J37" s="21"/>
      <c r="K37" s="21"/>
      <c r="L37" s="21"/>
      <c r="M37" s="21"/>
      <c r="N37" s="21"/>
      <c r="O37" s="21"/>
    </row>
    <row r="38" spans="2:15" ht="21" x14ac:dyDescent="0.4">
      <c r="B38" s="21"/>
      <c r="C38" s="21"/>
      <c r="D38" s="21"/>
      <c r="E38" s="21"/>
      <c r="F38" s="21"/>
      <c r="G38" s="21"/>
      <c r="H38" s="21"/>
      <c r="I38" s="21"/>
      <c r="J38" s="21"/>
      <c r="K38" s="21"/>
      <c r="L38" s="21"/>
      <c r="M38" s="21"/>
      <c r="N38" s="21"/>
      <c r="O38" s="21"/>
    </row>
    <row r="39" spans="2:15" ht="21" x14ac:dyDescent="0.4">
      <c r="B39" s="21"/>
      <c r="C39" s="21"/>
      <c r="D39" s="21"/>
      <c r="E39" s="21"/>
      <c r="F39" s="21"/>
      <c r="G39" s="21"/>
      <c r="H39" s="21"/>
      <c r="I39" s="21"/>
      <c r="J39" s="21"/>
      <c r="K39" s="21"/>
      <c r="L39" s="21"/>
      <c r="M39" s="21"/>
      <c r="N39" s="21"/>
      <c r="O39" s="21"/>
    </row>
    <row r="40" spans="2:15" ht="21" x14ac:dyDescent="0.4">
      <c r="B40" s="21"/>
      <c r="C40" s="21"/>
      <c r="D40" s="21"/>
      <c r="E40" s="21"/>
      <c r="F40" s="21"/>
      <c r="G40" s="21"/>
      <c r="H40" s="21"/>
      <c r="I40" s="21"/>
      <c r="J40" s="21"/>
      <c r="K40" s="21"/>
      <c r="L40" s="21"/>
      <c r="M40" s="21"/>
      <c r="N40" s="21"/>
      <c r="O40" s="21"/>
    </row>
    <row r="41" spans="2:15" ht="21" x14ac:dyDescent="0.4">
      <c r="B41" s="21"/>
      <c r="C41" s="21"/>
      <c r="D41" s="21"/>
      <c r="E41" s="21"/>
      <c r="F41" s="21"/>
      <c r="G41" s="21"/>
      <c r="H41" s="21"/>
      <c r="I41" s="21"/>
      <c r="J41" s="21"/>
      <c r="K41" s="21"/>
      <c r="L41" s="21"/>
      <c r="M41" s="21"/>
      <c r="N41" s="21"/>
      <c r="O41" s="21"/>
    </row>
    <row r="42" spans="2:15" ht="21" x14ac:dyDescent="0.4">
      <c r="B42" s="21"/>
      <c r="C42" s="21"/>
      <c r="D42" s="21"/>
      <c r="E42" s="21"/>
      <c r="F42" s="21"/>
      <c r="G42" s="21"/>
      <c r="H42" s="21"/>
      <c r="I42" s="21"/>
      <c r="J42" s="21"/>
      <c r="K42" s="21"/>
      <c r="L42" s="21"/>
      <c r="M42" s="21"/>
      <c r="N42" s="21"/>
      <c r="O42" s="21"/>
    </row>
    <row r="43" spans="2:15" ht="21" x14ac:dyDescent="0.4">
      <c r="B43" s="21"/>
      <c r="C43" s="21"/>
      <c r="D43" s="21"/>
      <c r="E43" s="21"/>
      <c r="F43" s="21"/>
      <c r="G43" s="21"/>
      <c r="H43" s="21"/>
      <c r="I43" s="21"/>
      <c r="J43" s="21"/>
      <c r="K43" s="21"/>
      <c r="L43" s="21"/>
      <c r="M43" s="21"/>
      <c r="N43" s="21"/>
      <c r="O43" s="21"/>
    </row>
    <row r="44" spans="2:15" ht="21" x14ac:dyDescent="0.4">
      <c r="B44" s="21"/>
      <c r="C44" s="21"/>
      <c r="D44" s="21"/>
      <c r="E44" s="21"/>
      <c r="F44" s="21"/>
      <c r="G44" s="21"/>
      <c r="H44" s="21"/>
      <c r="I44" s="21"/>
      <c r="J44" s="21"/>
      <c r="K44" s="21"/>
      <c r="L44" s="21"/>
      <c r="M44" s="21"/>
      <c r="N44" s="21"/>
      <c r="O44" s="21"/>
    </row>
    <row r="45" spans="2:15" ht="21" x14ac:dyDescent="0.4">
      <c r="B45" s="21"/>
      <c r="C45" s="21"/>
      <c r="D45" s="21"/>
      <c r="E45" s="21"/>
      <c r="F45" s="21"/>
      <c r="G45" s="21"/>
      <c r="H45" s="21"/>
      <c r="I45" s="21"/>
      <c r="J45" s="21"/>
      <c r="K45" s="21"/>
      <c r="L45" s="21"/>
      <c r="M45" s="21"/>
      <c r="N45" s="21"/>
      <c r="O45" s="21"/>
    </row>
    <row r="46" spans="2:15" ht="21" x14ac:dyDescent="0.4">
      <c r="B46" s="21"/>
      <c r="C46" s="21"/>
      <c r="D46" s="21"/>
      <c r="E46" s="21"/>
      <c r="F46" s="21"/>
      <c r="G46" s="21"/>
      <c r="H46" s="21"/>
      <c r="I46" s="21"/>
      <c r="J46" s="21"/>
      <c r="K46" s="21"/>
      <c r="L46" s="21"/>
      <c r="M46" s="21"/>
      <c r="N46" s="21"/>
      <c r="O46" s="21"/>
    </row>
    <row r="47" spans="2:15" ht="21" x14ac:dyDescent="0.4">
      <c r="B47" s="21"/>
      <c r="C47" s="21"/>
      <c r="D47" s="21"/>
      <c r="E47" s="21"/>
      <c r="F47" s="21"/>
      <c r="G47" s="21"/>
      <c r="H47" s="21"/>
      <c r="I47" s="21"/>
      <c r="J47" s="21"/>
      <c r="K47" s="21"/>
      <c r="L47" s="21"/>
      <c r="M47" s="21"/>
      <c r="N47" s="21"/>
      <c r="O47" s="21"/>
    </row>
    <row r="48" spans="2:15" ht="21" x14ac:dyDescent="0.4">
      <c r="B48" s="21"/>
      <c r="C48" s="21"/>
      <c r="D48" s="21"/>
      <c r="E48" s="21"/>
      <c r="F48" s="21"/>
      <c r="G48" s="21"/>
      <c r="H48" s="21"/>
      <c r="I48" s="21"/>
      <c r="J48" s="21"/>
      <c r="K48" s="21"/>
      <c r="L48" s="21"/>
      <c r="M48" s="21"/>
      <c r="N48" s="21"/>
      <c r="O48" s="21"/>
    </row>
    <row r="49" spans="2:15" ht="21" x14ac:dyDescent="0.4">
      <c r="B49" s="21"/>
      <c r="C49" s="21"/>
      <c r="D49" s="21"/>
      <c r="E49" s="21"/>
      <c r="F49" s="21"/>
      <c r="G49" s="21"/>
      <c r="H49" s="21"/>
      <c r="I49" s="21"/>
      <c r="J49" s="21"/>
      <c r="K49" s="21"/>
      <c r="L49" s="21"/>
      <c r="M49" s="21"/>
      <c r="N49" s="21"/>
      <c r="O49" s="21"/>
    </row>
    <row r="50" spans="2:15" ht="21" x14ac:dyDescent="0.4">
      <c r="B50" s="21"/>
      <c r="C50" s="21"/>
      <c r="D50" s="21"/>
      <c r="E50" s="21"/>
      <c r="F50" s="21"/>
      <c r="G50" s="21"/>
      <c r="H50" s="21"/>
      <c r="I50" s="21"/>
      <c r="J50" s="21"/>
      <c r="K50" s="21"/>
      <c r="L50" s="21"/>
      <c r="M50" s="21"/>
      <c r="N50" s="21"/>
      <c r="O50" s="21"/>
    </row>
    <row r="51" spans="2:15" ht="21" x14ac:dyDescent="0.4">
      <c r="B51" s="21"/>
      <c r="C51" s="21"/>
      <c r="D51" s="21"/>
      <c r="E51" s="21"/>
      <c r="F51" s="21"/>
      <c r="G51" s="21"/>
      <c r="H51" s="21"/>
      <c r="I51" s="21"/>
      <c r="J51" s="21"/>
      <c r="K51" s="21"/>
      <c r="L51" s="21"/>
      <c r="M51" s="21"/>
      <c r="N51" s="21"/>
      <c r="O51" s="21"/>
    </row>
    <row r="52" spans="2:15" ht="21" x14ac:dyDescent="0.4">
      <c r="B52" s="21"/>
      <c r="C52" s="21"/>
      <c r="D52" s="21"/>
      <c r="E52" s="21"/>
      <c r="F52" s="21"/>
      <c r="G52" s="21"/>
      <c r="H52" s="21"/>
      <c r="I52" s="21"/>
      <c r="J52" s="21"/>
      <c r="K52" s="21"/>
      <c r="L52" s="21"/>
      <c r="M52" s="21"/>
      <c r="N52" s="21"/>
      <c r="O52" s="21"/>
    </row>
    <row r="53" spans="2:15" ht="21" x14ac:dyDescent="0.4">
      <c r="B53" s="21"/>
      <c r="C53" s="21"/>
      <c r="D53" s="21"/>
      <c r="E53" s="21"/>
      <c r="F53" s="21"/>
      <c r="G53" s="21"/>
      <c r="H53" s="21"/>
      <c r="I53" s="21"/>
      <c r="J53" s="21"/>
      <c r="K53" s="21"/>
      <c r="L53" s="21"/>
      <c r="M53" s="21"/>
      <c r="N53" s="21"/>
      <c r="O53" s="21"/>
    </row>
    <row r="54" spans="2:15" ht="21" x14ac:dyDescent="0.4">
      <c r="B54" s="21"/>
      <c r="C54" s="21"/>
      <c r="D54" s="21"/>
      <c r="E54" s="21"/>
      <c r="F54" s="21"/>
      <c r="G54" s="21"/>
      <c r="H54" s="21"/>
      <c r="I54" s="21"/>
      <c r="J54" s="21"/>
      <c r="K54" s="21"/>
      <c r="L54" s="21"/>
      <c r="M54" s="21"/>
      <c r="N54" s="21"/>
      <c r="O54" s="21"/>
    </row>
    <row r="55" spans="2:15" ht="21" x14ac:dyDescent="0.4">
      <c r="B55" s="21"/>
      <c r="C55" s="21"/>
      <c r="D55" s="21"/>
      <c r="E55" s="21"/>
      <c r="F55" s="21"/>
      <c r="G55" s="21"/>
      <c r="H55" s="21"/>
      <c r="I55" s="21"/>
      <c r="J55" s="21"/>
      <c r="K55" s="21"/>
      <c r="L55" s="21"/>
      <c r="M55" s="21"/>
      <c r="N55" s="21"/>
      <c r="O55" s="21"/>
    </row>
    <row r="56" spans="2:15" ht="21" x14ac:dyDescent="0.4">
      <c r="B56" s="21"/>
      <c r="C56" s="21"/>
      <c r="D56" s="21"/>
      <c r="E56" s="21"/>
      <c r="F56" s="21"/>
      <c r="G56" s="21"/>
      <c r="H56" s="21"/>
      <c r="I56" s="21"/>
      <c r="J56" s="21"/>
      <c r="K56" s="21"/>
      <c r="L56" s="21"/>
      <c r="M56" s="21"/>
      <c r="N56" s="21"/>
      <c r="O56" s="21"/>
    </row>
  </sheetData>
  <mergeCells count="2">
    <mergeCell ref="B2:O18"/>
    <mergeCell ref="C29:N29"/>
  </mergeCells>
  <pageMargins left="0.7" right="0.7" top="0.75" bottom="0.75" header="0.3" footer="0.3"/>
  <pageSetup paperSize="9" scale="5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oglio11"/>
  <dimension ref="B12:M33"/>
  <sheetViews>
    <sheetView workbookViewId="0">
      <selection activeCell="D32" sqref="D32"/>
    </sheetView>
  </sheetViews>
  <sheetFormatPr defaultColWidth="9.109375" defaultRowHeight="18" x14ac:dyDescent="0.35"/>
  <cols>
    <col min="1" max="1" width="9.109375" style="4"/>
    <col min="2" max="2" width="6.88671875" style="4" customWidth="1"/>
    <col min="3" max="3" width="40.88671875" style="4" bestFit="1" customWidth="1"/>
    <col min="4" max="4" width="12.88671875" style="4" bestFit="1" customWidth="1"/>
    <col min="5" max="5" width="11.109375" style="4" bestFit="1" customWidth="1"/>
    <col min="6" max="6" width="7.88671875" style="4" bestFit="1" customWidth="1"/>
    <col min="7" max="7" width="68.5546875" style="4" bestFit="1" customWidth="1"/>
    <col min="8" max="8" width="11.88671875" style="4" bestFit="1" customWidth="1"/>
    <col min="9" max="9" width="11.5546875" style="4" bestFit="1" customWidth="1"/>
    <col min="10" max="10" width="7" style="4" bestFit="1" customWidth="1"/>
    <col min="11" max="11" width="42.88671875" style="4" bestFit="1" customWidth="1"/>
    <col min="12" max="12" width="26.33203125" style="4" bestFit="1" customWidth="1"/>
    <col min="13" max="13" width="17.44140625" style="4" bestFit="1" customWidth="1"/>
    <col min="14" max="16384" width="9.109375" style="4"/>
  </cols>
  <sheetData>
    <row r="12" spans="3:13" ht="8.25" customHeight="1" x14ac:dyDescent="0.35"/>
    <row r="13" spans="3:13" x14ac:dyDescent="0.35">
      <c r="C13" s="1"/>
      <c r="D13" s="5"/>
      <c r="E13" s="3"/>
      <c r="F13" s="1"/>
      <c r="G13" s="1"/>
      <c r="H13" s="1"/>
      <c r="I13" s="6"/>
      <c r="J13" s="1"/>
      <c r="K13" s="1"/>
      <c r="L13" s="1"/>
      <c r="M13" s="1"/>
    </row>
    <row r="14" spans="3:13" x14ac:dyDescent="0.35">
      <c r="C14" s="1"/>
      <c r="D14" s="7"/>
      <c r="E14" s="8"/>
      <c r="F14" s="1"/>
      <c r="G14" s="9"/>
      <c r="H14" s="1"/>
      <c r="I14" s="1"/>
      <c r="J14" s="1"/>
      <c r="K14" s="1"/>
      <c r="L14" s="1"/>
      <c r="M14" s="1"/>
    </row>
    <row r="15" spans="3:13" x14ac:dyDescent="0.35">
      <c r="C15" s="15" t="s">
        <v>0</v>
      </c>
      <c r="D15" s="16"/>
      <c r="E15" s="16"/>
      <c r="G15" s="10"/>
      <c r="J15" s="1"/>
      <c r="K15" s="1"/>
      <c r="L15" s="1"/>
      <c r="M15" s="1"/>
    </row>
    <row r="16" spans="3:13" x14ac:dyDescent="0.35">
      <c r="C16" s="19" t="s">
        <v>36</v>
      </c>
      <c r="D16" s="27">
        <v>150</v>
      </c>
      <c r="E16" s="18"/>
    </row>
    <row r="17" spans="2:5" x14ac:dyDescent="0.35">
      <c r="C17" s="19" t="s">
        <v>24</v>
      </c>
      <c r="D17" s="18">
        <v>3</v>
      </c>
      <c r="E17" s="20" t="s">
        <v>37</v>
      </c>
    </row>
    <row r="18" spans="2:5" x14ac:dyDescent="0.35">
      <c r="C18" s="19" t="s">
        <v>38</v>
      </c>
      <c r="D18" s="18"/>
      <c r="E18" s="18"/>
    </row>
    <row r="19" spans="2:5" x14ac:dyDescent="0.35">
      <c r="C19" s="19" t="s">
        <v>15</v>
      </c>
      <c r="D19" s="18">
        <f>6%</f>
        <v>0.06</v>
      </c>
      <c r="E19" s="18"/>
    </row>
    <row r="20" spans="2:5" x14ac:dyDescent="0.35">
      <c r="C20" s="19" t="s">
        <v>12</v>
      </c>
      <c r="D20" s="18">
        <f>11.5%</f>
        <v>0.115</v>
      </c>
      <c r="E20" s="18"/>
    </row>
    <row r="21" spans="2:5" x14ac:dyDescent="0.35">
      <c r="C21" s="19" t="s">
        <v>39</v>
      </c>
      <c r="D21" s="18">
        <v>0.12</v>
      </c>
      <c r="E21" s="20" t="s">
        <v>14</v>
      </c>
    </row>
    <row r="22" spans="2:5" x14ac:dyDescent="0.35">
      <c r="C22" s="19" t="s">
        <v>40</v>
      </c>
      <c r="D22" s="18"/>
      <c r="E22" s="18"/>
    </row>
    <row r="23" spans="2:5" x14ac:dyDescent="0.35">
      <c r="C23" s="19" t="s">
        <v>15</v>
      </c>
      <c r="D23" s="18">
        <f>6%</f>
        <v>0.06</v>
      </c>
      <c r="E23" s="18"/>
    </row>
    <row r="24" spans="2:5" x14ac:dyDescent="0.35">
      <c r="C24" s="19" t="s">
        <v>12</v>
      </c>
      <c r="D24" s="18">
        <f>11.5%</f>
        <v>0.115</v>
      </c>
      <c r="E24" s="18"/>
    </row>
    <row r="26" spans="2:5" x14ac:dyDescent="0.35">
      <c r="C26" s="42" t="s">
        <v>100</v>
      </c>
      <c r="D26" s="47"/>
    </row>
    <row r="27" spans="2:5" x14ac:dyDescent="0.35">
      <c r="B27" s="56" t="s">
        <v>46</v>
      </c>
      <c r="C27" s="42" t="s">
        <v>41</v>
      </c>
      <c r="D27" s="49">
        <f>D16*((1+D19)^(D17*2)-1)</f>
        <v>62.777866838400087</v>
      </c>
    </row>
    <row r="28" spans="2:5" x14ac:dyDescent="0.35">
      <c r="B28" s="56" t="s">
        <v>47</v>
      </c>
      <c r="C28" s="42" t="s">
        <v>41</v>
      </c>
      <c r="D28" s="49">
        <f>D16*((1+D20)^D17-1)</f>
        <v>57.929381250000013</v>
      </c>
    </row>
    <row r="29" spans="2:5" x14ac:dyDescent="0.35">
      <c r="B29" s="56" t="s">
        <v>48</v>
      </c>
      <c r="C29" s="42" t="s">
        <v>41</v>
      </c>
      <c r="D29" s="49">
        <f>D16*(EXP(D21*D17)-1)</f>
        <v>64.999412184051025</v>
      </c>
    </row>
    <row r="30" spans="2:5" x14ac:dyDescent="0.35">
      <c r="B30" s="57"/>
    </row>
    <row r="31" spans="2:5" x14ac:dyDescent="0.35">
      <c r="B31" s="57"/>
      <c r="C31" s="42" t="s">
        <v>101</v>
      </c>
      <c r="D31" s="47"/>
    </row>
    <row r="32" spans="2:5" x14ac:dyDescent="0.35">
      <c r="B32" s="56" t="s">
        <v>49</v>
      </c>
      <c r="C32" s="42" t="s">
        <v>41</v>
      </c>
      <c r="D32" s="49">
        <f>D16*D23*D17*2</f>
        <v>54</v>
      </c>
    </row>
    <row r="33" spans="2:4" x14ac:dyDescent="0.35">
      <c r="B33" s="56" t="s">
        <v>50</v>
      </c>
      <c r="C33" s="42" t="s">
        <v>41</v>
      </c>
      <c r="D33" s="49">
        <f>D16*D24*D17</f>
        <v>51.75</v>
      </c>
    </row>
  </sheetData>
  <phoneticPr fontId="8" type="noConversion"/>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oglio12"/>
  <dimension ref="C9:E23"/>
  <sheetViews>
    <sheetView showGridLines="0" zoomScale="120" zoomScaleNormal="120" workbookViewId="0">
      <selection activeCell="D17" sqref="D17"/>
    </sheetView>
  </sheetViews>
  <sheetFormatPr defaultRowHeight="14.4" x14ac:dyDescent="0.3"/>
  <cols>
    <col min="1" max="1" width="5.6640625" customWidth="1"/>
    <col min="2" max="2" width="4" customWidth="1"/>
    <col min="3" max="3" width="17.6640625" bestFit="1" customWidth="1"/>
    <col min="4" max="4" width="16.88671875" customWidth="1"/>
    <col min="5" max="5" width="11.109375" bestFit="1" customWidth="1"/>
    <col min="7" max="7" width="14.44140625" bestFit="1" customWidth="1"/>
    <col min="8" max="8" width="25.88671875" bestFit="1" customWidth="1"/>
    <col min="9" max="9" width="26.6640625" customWidth="1"/>
    <col min="10" max="10" width="6.109375" customWidth="1"/>
    <col min="11" max="11" width="6.88671875" customWidth="1"/>
    <col min="12" max="12" width="14.44140625" bestFit="1" customWidth="1"/>
    <col min="14" max="14" width="13.88671875" customWidth="1"/>
    <col min="15" max="15" width="2.5546875" customWidth="1"/>
    <col min="16" max="16" width="5.33203125" customWidth="1"/>
    <col min="17" max="17" width="14.44140625" bestFit="1" customWidth="1"/>
    <col min="19" max="19" width="17" customWidth="1"/>
  </cols>
  <sheetData>
    <row r="9" spans="3:5" ht="18" x14ac:dyDescent="0.35">
      <c r="C9" s="15" t="s">
        <v>0</v>
      </c>
      <c r="D9" s="16"/>
      <c r="E9" s="16"/>
    </row>
    <row r="10" spans="3:5" ht="18" x14ac:dyDescent="0.35">
      <c r="C10" s="19" t="s">
        <v>3</v>
      </c>
      <c r="D10" s="18">
        <v>120</v>
      </c>
      <c r="E10" s="18"/>
    </row>
    <row r="11" spans="3:5" ht="18" x14ac:dyDescent="0.35">
      <c r="C11" s="19" t="s">
        <v>62</v>
      </c>
      <c r="D11" s="18">
        <f>2%</f>
        <v>0.02</v>
      </c>
      <c r="E11" s="20" t="s">
        <v>96</v>
      </c>
    </row>
    <row r="12" spans="3:5" ht="18" x14ac:dyDescent="0.35">
      <c r="C12" s="19" t="s">
        <v>86</v>
      </c>
      <c r="D12" s="18">
        <v>3</v>
      </c>
      <c r="E12" s="20" t="s">
        <v>25</v>
      </c>
    </row>
    <row r="13" spans="3:5" ht="18" x14ac:dyDescent="0.35">
      <c r="C13" s="19" t="s">
        <v>87</v>
      </c>
      <c r="D13" s="18">
        <v>2</v>
      </c>
      <c r="E13" s="20" t="s">
        <v>37</v>
      </c>
    </row>
    <row r="14" spans="3:5" ht="18" x14ac:dyDescent="0.35">
      <c r="C14" s="19" t="s">
        <v>97</v>
      </c>
      <c r="D14" s="18"/>
      <c r="E14" s="18"/>
    </row>
    <row r="16" spans="3:5" ht="18" x14ac:dyDescent="0.35">
      <c r="C16" s="141" t="s">
        <v>26</v>
      </c>
      <c r="D16" s="142"/>
    </row>
    <row r="17" spans="3:4" ht="18" x14ac:dyDescent="0.35">
      <c r="C17" s="42" t="s">
        <v>99</v>
      </c>
      <c r="D17" s="43">
        <f>D10*(1+D11)^(D12/12)</f>
        <v>120.59555178878446</v>
      </c>
    </row>
    <row r="18" spans="3:4" ht="18" x14ac:dyDescent="0.35">
      <c r="C18" s="42" t="s">
        <v>98</v>
      </c>
      <c r="D18" s="43">
        <f>D10*(1+D11)^D13</f>
        <v>124.848</v>
      </c>
    </row>
    <row r="21" spans="3:4" ht="18" x14ac:dyDescent="0.35">
      <c r="C21" s="141" t="s">
        <v>18</v>
      </c>
      <c r="D21" s="142"/>
    </row>
    <row r="22" spans="3:4" ht="18" x14ac:dyDescent="0.35">
      <c r="C22" s="42" t="s">
        <v>99</v>
      </c>
      <c r="D22" s="43">
        <f>D10*(1+D11*D12/12)</f>
        <v>120.6</v>
      </c>
    </row>
    <row r="23" spans="3:4" ht="18" x14ac:dyDescent="0.35">
      <c r="C23" s="42" t="s">
        <v>98</v>
      </c>
      <c r="D23" s="43">
        <f>D10*(1+D11*D13)</f>
        <v>124.80000000000001</v>
      </c>
    </row>
  </sheetData>
  <mergeCells count="2">
    <mergeCell ref="C16:D16"/>
    <mergeCell ref="C21:D21"/>
  </mergeCells>
  <phoneticPr fontId="8" type="noConversion"/>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oglio13"/>
  <dimension ref="B27:D48"/>
  <sheetViews>
    <sheetView showGridLines="0" zoomScale="110" zoomScaleNormal="110" workbookViewId="0">
      <selection activeCell="G44" sqref="G44:G48"/>
    </sheetView>
  </sheetViews>
  <sheetFormatPr defaultRowHeight="14.4" x14ac:dyDescent="0.3"/>
  <cols>
    <col min="1" max="1" width="6.88671875" customWidth="1"/>
    <col min="2" max="2" width="23.109375" bestFit="1" customWidth="1"/>
    <col min="3" max="3" width="12.6640625" customWidth="1"/>
    <col min="4" max="4" width="13" bestFit="1" customWidth="1"/>
    <col min="6" max="6" width="4.5546875" customWidth="1"/>
    <col min="7" max="7" width="44.6640625" bestFit="1" customWidth="1"/>
    <col min="8" max="8" width="26.6640625" bestFit="1" customWidth="1"/>
    <col min="9" max="9" width="23.6640625" bestFit="1" customWidth="1"/>
    <col min="10" max="10" width="24" bestFit="1" customWidth="1"/>
  </cols>
  <sheetData>
    <row r="27" spans="2:4" ht="18" x14ac:dyDescent="0.35">
      <c r="B27" s="15" t="s">
        <v>0</v>
      </c>
      <c r="C27" s="16"/>
      <c r="D27" s="16"/>
    </row>
    <row r="28" spans="2:4" ht="18" x14ac:dyDescent="0.35">
      <c r="B28" s="19" t="s">
        <v>1</v>
      </c>
      <c r="C28" s="18">
        <v>95</v>
      </c>
      <c r="D28" s="20" t="s">
        <v>2</v>
      </c>
    </row>
    <row r="29" spans="2:4" ht="18" x14ac:dyDescent="0.35">
      <c r="B29" s="19" t="s">
        <v>3</v>
      </c>
      <c r="C29" s="18">
        <v>97.8</v>
      </c>
      <c r="D29" s="18"/>
    </row>
    <row r="30" spans="2:4" ht="18" x14ac:dyDescent="0.35">
      <c r="B30" s="19" t="s">
        <v>21</v>
      </c>
      <c r="C30" s="18">
        <f>101.5</f>
        <v>101.5</v>
      </c>
      <c r="D30" s="18"/>
    </row>
    <row r="31" spans="2:4" ht="18" x14ac:dyDescent="0.35">
      <c r="B31" s="19" t="s">
        <v>5</v>
      </c>
      <c r="C31" s="18">
        <v>365</v>
      </c>
      <c r="D31" s="18"/>
    </row>
    <row r="32" spans="2:4" ht="18" x14ac:dyDescent="0.35">
      <c r="B32" s="4"/>
      <c r="C32" s="4"/>
      <c r="D32" s="4"/>
    </row>
    <row r="33" spans="2:4" ht="18" x14ac:dyDescent="0.35">
      <c r="B33" s="42" t="s">
        <v>7</v>
      </c>
      <c r="C33" s="49">
        <f>C30-C29</f>
        <v>3.7000000000000028</v>
      </c>
      <c r="D33" s="47"/>
    </row>
    <row r="34" spans="2:4" ht="18" x14ac:dyDescent="0.35">
      <c r="B34" s="42" t="s">
        <v>22</v>
      </c>
      <c r="C34" s="50">
        <f>C33/C29</f>
        <v>3.7832310838445835E-2</v>
      </c>
      <c r="D34" s="47"/>
    </row>
    <row r="35" spans="2:4" ht="18" x14ac:dyDescent="0.35">
      <c r="B35" s="42" t="s">
        <v>17</v>
      </c>
      <c r="C35" s="50">
        <f>C33/C30</f>
        <v>3.6453201970443376E-2</v>
      </c>
      <c r="D35" s="47"/>
    </row>
    <row r="36" spans="2:4" ht="18" x14ac:dyDescent="0.35">
      <c r="B36" s="42" t="s">
        <v>8</v>
      </c>
      <c r="C36" s="47">
        <f>C34/C28</f>
        <v>3.9823485093100878E-4</v>
      </c>
      <c r="D36" s="46" t="s">
        <v>9</v>
      </c>
    </row>
    <row r="37" spans="2:4" ht="18" x14ac:dyDescent="0.35">
      <c r="B37" s="42" t="s">
        <v>10</v>
      </c>
      <c r="C37" s="47">
        <f>C35/C28</f>
        <v>3.8371791547835133E-4</v>
      </c>
      <c r="D37" s="46" t="s">
        <v>9</v>
      </c>
    </row>
    <row r="38" spans="2:4" ht="18" x14ac:dyDescent="0.35">
      <c r="B38" s="4"/>
      <c r="C38" s="4"/>
      <c r="D38" s="4"/>
    </row>
    <row r="39" spans="2:4" ht="18" x14ac:dyDescent="0.35">
      <c r="B39" s="42" t="s">
        <v>11</v>
      </c>
      <c r="C39" s="47"/>
      <c r="D39" s="47"/>
    </row>
    <row r="40" spans="2:4" ht="18" x14ac:dyDescent="0.35">
      <c r="B40" s="42" t="s">
        <v>12</v>
      </c>
      <c r="C40" s="50">
        <f>(1+C34)^(C31/C28)-1</f>
        <v>0.15335327145636168</v>
      </c>
      <c r="D40" s="47"/>
    </row>
    <row r="41" spans="2:4" ht="18" x14ac:dyDescent="0.35">
      <c r="B41" s="42" t="s">
        <v>13</v>
      </c>
      <c r="C41" s="47">
        <f>LN(1+C40)</f>
        <v>0.14267358764200697</v>
      </c>
      <c r="D41" s="46" t="s">
        <v>14</v>
      </c>
    </row>
    <row r="42" spans="2:4" ht="18" x14ac:dyDescent="0.35">
      <c r="B42" s="42" t="s">
        <v>15</v>
      </c>
      <c r="C42" s="50">
        <f>(1+C40)^(1/2)-1</f>
        <v>7.3942862286612288E-2</v>
      </c>
      <c r="D42" s="47"/>
    </row>
    <row r="43" spans="2:4" ht="18" x14ac:dyDescent="0.35">
      <c r="B43" s="42" t="s">
        <v>13</v>
      </c>
      <c r="C43" s="47">
        <f>LN(1+C42)</f>
        <v>7.13367938210034E-2</v>
      </c>
      <c r="D43" s="46" t="s">
        <v>16</v>
      </c>
    </row>
    <row r="44" spans="2:4" ht="18" x14ac:dyDescent="0.35">
      <c r="B44" s="4"/>
      <c r="C44" s="4"/>
      <c r="D44" s="4"/>
    </row>
    <row r="45" spans="2:4" ht="18" x14ac:dyDescent="0.35">
      <c r="B45" s="4"/>
      <c r="C45" s="4"/>
      <c r="D45" s="4"/>
    </row>
    <row r="46" spans="2:4" ht="18" x14ac:dyDescent="0.35">
      <c r="B46" s="42" t="s">
        <v>18</v>
      </c>
      <c r="C46" s="47"/>
      <c r="D46" s="47"/>
    </row>
    <row r="47" spans="2:4" ht="18" x14ac:dyDescent="0.35">
      <c r="B47" s="42" t="s">
        <v>12</v>
      </c>
      <c r="C47" s="50">
        <f>C34*C31/C28</f>
        <v>0.14535572058981822</v>
      </c>
      <c r="D47" s="47"/>
    </row>
    <row r="48" spans="2:4" ht="18" x14ac:dyDescent="0.35">
      <c r="B48" s="42" t="s">
        <v>15</v>
      </c>
      <c r="C48" s="50">
        <f>C47/2</f>
        <v>7.2677860294909108E-2</v>
      </c>
      <c r="D48" s="47"/>
    </row>
  </sheetData>
  <phoneticPr fontId="8" type="noConversion"/>
  <pageMargins left="0.7" right="0.7" top="0.75" bottom="0.75" header="0.3" footer="0.3"/>
  <pageSetup paperSize="9" orientation="portrait" verticalDpi="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oglio14"/>
  <dimension ref="B24:D48"/>
  <sheetViews>
    <sheetView showGridLines="0" zoomScaleNormal="100" workbookViewId="0">
      <selection activeCell="E41" sqref="E41"/>
    </sheetView>
  </sheetViews>
  <sheetFormatPr defaultRowHeight="14.4" x14ac:dyDescent="0.3"/>
  <cols>
    <col min="1" max="1" width="8" customWidth="1"/>
    <col min="2" max="2" width="23.109375" bestFit="1" customWidth="1"/>
    <col min="3" max="3" width="11.33203125" customWidth="1"/>
    <col min="4" max="4" width="13" bestFit="1" customWidth="1"/>
    <col min="6" max="6" width="4.6640625" bestFit="1" customWidth="1"/>
    <col min="7" max="7" width="41.44140625" bestFit="1" customWidth="1"/>
    <col min="8" max="8" width="13.44140625" customWidth="1"/>
    <col min="9" max="9" width="26.6640625" bestFit="1" customWidth="1"/>
    <col min="10" max="10" width="23.6640625" bestFit="1" customWidth="1"/>
  </cols>
  <sheetData>
    <row r="24" spans="2:4" ht="6.75" customHeight="1" x14ac:dyDescent="0.3"/>
    <row r="27" spans="2:4" ht="18" x14ac:dyDescent="0.35">
      <c r="B27" s="15" t="s">
        <v>0</v>
      </c>
      <c r="C27" s="16"/>
      <c r="D27" s="16"/>
    </row>
    <row r="28" spans="2:4" ht="18" x14ac:dyDescent="0.35">
      <c r="B28" s="19" t="s">
        <v>1</v>
      </c>
      <c r="C28" s="18">
        <v>120</v>
      </c>
      <c r="D28" s="20" t="s">
        <v>2</v>
      </c>
    </row>
    <row r="29" spans="2:4" ht="18" x14ac:dyDescent="0.35">
      <c r="B29" s="19" t="s">
        <v>19</v>
      </c>
      <c r="C29" s="18">
        <v>100</v>
      </c>
      <c r="D29" s="18"/>
    </row>
    <row r="30" spans="2:4" ht="18" x14ac:dyDescent="0.35">
      <c r="B30" s="19" t="s">
        <v>4</v>
      </c>
      <c r="C30" s="37">
        <f>3.63%</f>
        <v>3.6299999999999999E-2</v>
      </c>
      <c r="D30" s="18"/>
    </row>
    <row r="31" spans="2:4" ht="18" x14ac:dyDescent="0.35">
      <c r="B31" s="19" t="s">
        <v>5</v>
      </c>
      <c r="C31" s="18">
        <v>365</v>
      </c>
      <c r="D31" s="18"/>
    </row>
    <row r="32" spans="2:4" ht="18" x14ac:dyDescent="0.35">
      <c r="B32" s="4"/>
      <c r="C32" s="4"/>
      <c r="D32" s="4"/>
    </row>
    <row r="33" spans="2:4" ht="18" x14ac:dyDescent="0.35">
      <c r="B33" s="42" t="s">
        <v>20</v>
      </c>
      <c r="C33" s="47">
        <f>C29/(1+C30)</f>
        <v>96.497153333976641</v>
      </c>
      <c r="D33" s="47"/>
    </row>
    <row r="34" spans="2:4" ht="18" x14ac:dyDescent="0.35">
      <c r="B34" s="42" t="s">
        <v>7</v>
      </c>
      <c r="C34" s="47">
        <f>C29-C33</f>
        <v>3.502846666023359</v>
      </c>
      <c r="D34" s="47"/>
    </row>
    <row r="35" spans="2:4" ht="18" x14ac:dyDescent="0.35">
      <c r="B35" s="42" t="s">
        <v>17</v>
      </c>
      <c r="C35" s="48">
        <f>C34/C29</f>
        <v>3.5028466660233591E-2</v>
      </c>
      <c r="D35" s="47"/>
    </row>
    <row r="36" spans="2:4" ht="18" x14ac:dyDescent="0.35">
      <c r="B36" s="42" t="s">
        <v>8</v>
      </c>
      <c r="C36" s="47">
        <f>C30/C28</f>
        <v>3.0249999999999998E-4</v>
      </c>
      <c r="D36" s="46" t="s">
        <v>9</v>
      </c>
    </row>
    <row r="37" spans="2:4" ht="18" x14ac:dyDescent="0.35">
      <c r="B37" s="42" t="s">
        <v>10</v>
      </c>
      <c r="C37" s="47">
        <f>C35/C28</f>
        <v>2.9190388883527994E-4</v>
      </c>
      <c r="D37" s="46" t="s">
        <v>9</v>
      </c>
    </row>
    <row r="38" spans="2:4" ht="18" x14ac:dyDescent="0.35">
      <c r="B38" s="4"/>
      <c r="C38" s="4"/>
      <c r="D38" s="4"/>
    </row>
    <row r="39" spans="2:4" ht="18" x14ac:dyDescent="0.35">
      <c r="B39" s="42" t="s">
        <v>11</v>
      </c>
      <c r="C39" s="47"/>
      <c r="D39" s="47"/>
    </row>
    <row r="40" spans="2:4" ht="18" x14ac:dyDescent="0.35">
      <c r="B40" s="42" t="s">
        <v>12</v>
      </c>
      <c r="C40" s="48">
        <f>(1+C30)^(C31/C28)-1</f>
        <v>0.11455556217896179</v>
      </c>
      <c r="D40" s="47"/>
    </row>
    <row r="41" spans="2:4" ht="18" x14ac:dyDescent="0.35">
      <c r="B41" s="42" t="s">
        <v>13</v>
      </c>
      <c r="C41" s="47">
        <f>LN(1+C40)</f>
        <v>0.10845572650777212</v>
      </c>
      <c r="D41" s="46" t="s">
        <v>14</v>
      </c>
    </row>
    <row r="42" spans="2:4" ht="18" x14ac:dyDescent="0.35">
      <c r="B42" s="42" t="s">
        <v>15</v>
      </c>
      <c r="C42" s="48">
        <f>(1+C40)^(1/2)-1</f>
        <v>5.5725135714292717E-2</v>
      </c>
      <c r="D42" s="47"/>
    </row>
    <row r="43" spans="2:4" ht="18" x14ac:dyDescent="0.35">
      <c r="B43" s="42" t="s">
        <v>13</v>
      </c>
      <c r="C43" s="47">
        <f>LN(1+C42)</f>
        <v>5.4227863253886052E-2</v>
      </c>
      <c r="D43" s="46" t="s">
        <v>16</v>
      </c>
    </row>
    <row r="44" spans="2:4" ht="18" x14ac:dyDescent="0.35">
      <c r="B44" s="4"/>
      <c r="C44" s="4"/>
      <c r="D44" s="4"/>
    </row>
    <row r="45" spans="2:4" ht="18" x14ac:dyDescent="0.35">
      <c r="B45" s="4"/>
      <c r="C45" s="4"/>
      <c r="D45" s="4"/>
    </row>
    <row r="46" spans="2:4" ht="18" x14ac:dyDescent="0.35">
      <c r="B46" s="42" t="s">
        <v>18</v>
      </c>
      <c r="C46" s="47"/>
      <c r="D46" s="47"/>
    </row>
    <row r="47" spans="2:4" ht="18" x14ac:dyDescent="0.35">
      <c r="B47" s="42" t="s">
        <v>12</v>
      </c>
      <c r="C47" s="48">
        <f>C30*C31/C28</f>
        <v>0.1104125</v>
      </c>
      <c r="D47" s="47"/>
    </row>
    <row r="48" spans="2:4" ht="18" x14ac:dyDescent="0.35">
      <c r="B48" s="42" t="s">
        <v>15</v>
      </c>
      <c r="C48" s="48">
        <f>C47/2</f>
        <v>5.5206249999999998E-2</v>
      </c>
      <c r="D48" s="47"/>
    </row>
  </sheetData>
  <phoneticPr fontId="8" type="noConversion"/>
  <pageMargins left="0.7" right="0.7" top="0.75" bottom="0.75" header="0.3" footer="0.3"/>
  <pageSetup paperSize="9" orientation="portrait" verticalDpi="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oglio15"/>
  <dimension ref="B26:D47"/>
  <sheetViews>
    <sheetView showGridLines="0" zoomScaleNormal="100" workbookViewId="0">
      <selection activeCell="G28" sqref="G28"/>
    </sheetView>
  </sheetViews>
  <sheetFormatPr defaultRowHeight="14.4" x14ac:dyDescent="0.3"/>
  <cols>
    <col min="1" max="1" width="2.5546875" customWidth="1"/>
    <col min="2" max="2" width="23.109375" bestFit="1" customWidth="1"/>
    <col min="3" max="3" width="17.109375" bestFit="1" customWidth="1"/>
    <col min="4" max="4" width="13" bestFit="1" customWidth="1"/>
    <col min="6" max="6" width="4.6640625" bestFit="1" customWidth="1"/>
    <col min="7" max="7" width="41.5546875" bestFit="1" customWidth="1"/>
    <col min="8" max="8" width="13.6640625" customWidth="1"/>
    <col min="9" max="9" width="26.6640625" bestFit="1" customWidth="1"/>
    <col min="10" max="10" width="23.6640625" bestFit="1" customWidth="1"/>
  </cols>
  <sheetData>
    <row r="26" spans="2:4" ht="18" x14ac:dyDescent="0.35">
      <c r="B26" s="15" t="s">
        <v>0</v>
      </c>
      <c r="C26" s="16"/>
      <c r="D26" s="16"/>
    </row>
    <row r="27" spans="2:4" ht="18" x14ac:dyDescent="0.35">
      <c r="B27" s="19" t="s">
        <v>1</v>
      </c>
      <c r="C27" s="18">
        <v>150</v>
      </c>
      <c r="D27" s="20" t="s">
        <v>2</v>
      </c>
    </row>
    <row r="28" spans="2:4" ht="18" x14ac:dyDescent="0.35">
      <c r="B28" s="19" t="s">
        <v>3</v>
      </c>
      <c r="C28" s="18">
        <v>100</v>
      </c>
      <c r="D28" s="18"/>
    </row>
    <row r="29" spans="2:4" ht="18" x14ac:dyDescent="0.35">
      <c r="B29" s="19" t="s">
        <v>4</v>
      </c>
      <c r="C29" s="18">
        <f>4.25%</f>
        <v>4.2500000000000003E-2</v>
      </c>
      <c r="D29" s="18"/>
    </row>
    <row r="30" spans="2:4" ht="18" x14ac:dyDescent="0.35">
      <c r="B30" s="19" t="s">
        <v>5</v>
      </c>
      <c r="C30" s="18">
        <v>365</v>
      </c>
      <c r="D30" s="18"/>
    </row>
    <row r="31" spans="2:4" ht="18" x14ac:dyDescent="0.35">
      <c r="B31" s="4"/>
      <c r="C31" s="4"/>
      <c r="D31" s="4"/>
    </row>
    <row r="32" spans="2:4" ht="18" x14ac:dyDescent="0.35">
      <c r="B32" s="42" t="s">
        <v>6</v>
      </c>
      <c r="C32" s="49">
        <f>C28*(1+C29)</f>
        <v>104.25</v>
      </c>
      <c r="D32" s="47"/>
    </row>
    <row r="33" spans="2:4" ht="18" x14ac:dyDescent="0.35">
      <c r="B33" s="42" t="s">
        <v>7</v>
      </c>
      <c r="C33" s="49">
        <f>C32-C28</f>
        <v>4.25</v>
      </c>
      <c r="D33" s="47"/>
    </row>
    <row r="34" spans="2:4" ht="18" x14ac:dyDescent="0.35">
      <c r="B34" s="42" t="s">
        <v>17</v>
      </c>
      <c r="C34" s="50">
        <f>C33/C32</f>
        <v>4.0767386091127102E-2</v>
      </c>
      <c r="D34" s="47"/>
    </row>
    <row r="35" spans="2:4" ht="18" x14ac:dyDescent="0.35">
      <c r="B35" s="42" t="s">
        <v>8</v>
      </c>
      <c r="C35" s="51">
        <f>C29/C27</f>
        <v>2.8333333333333335E-4</v>
      </c>
      <c r="D35" s="46" t="s">
        <v>9</v>
      </c>
    </row>
    <row r="36" spans="2:4" ht="18" x14ac:dyDescent="0.35">
      <c r="B36" s="42" t="s">
        <v>10</v>
      </c>
      <c r="C36" s="51">
        <f>C34/C27</f>
        <v>2.7178257394084736E-4</v>
      </c>
      <c r="D36" s="46" t="s">
        <v>9</v>
      </c>
    </row>
    <row r="37" spans="2:4" ht="18" x14ac:dyDescent="0.35">
      <c r="B37" s="4"/>
      <c r="C37" s="4"/>
      <c r="D37" s="4"/>
    </row>
    <row r="38" spans="2:4" ht="18" x14ac:dyDescent="0.35">
      <c r="B38" s="42" t="s">
        <v>11</v>
      </c>
      <c r="C38" s="47"/>
      <c r="D38" s="47"/>
    </row>
    <row r="39" spans="2:4" ht="18" x14ac:dyDescent="0.35">
      <c r="B39" s="42" t="s">
        <v>12</v>
      </c>
      <c r="C39" s="50">
        <f>(1+C29)^(C30/C27)-1</f>
        <v>0.10658578795271811</v>
      </c>
      <c r="D39" s="47"/>
    </row>
    <row r="40" spans="2:4" ht="18" x14ac:dyDescent="0.35">
      <c r="B40" s="42" t="s">
        <v>13</v>
      </c>
      <c r="C40" s="51">
        <f>LN(1+C39)</f>
        <v>0.10127940841432739</v>
      </c>
      <c r="D40" s="46" t="s">
        <v>14</v>
      </c>
    </row>
    <row r="41" spans="2:4" ht="18" x14ac:dyDescent="0.35">
      <c r="B41" s="42" t="s">
        <v>15</v>
      </c>
      <c r="C41" s="50">
        <f>(1+C39)^(1/2)-1</f>
        <v>5.1943814066472971E-2</v>
      </c>
      <c r="D41" s="47"/>
    </row>
    <row r="42" spans="2:4" ht="18" x14ac:dyDescent="0.35">
      <c r="B42" s="42" t="s">
        <v>13</v>
      </c>
      <c r="C42" s="51">
        <f>LN(1+C41)</f>
        <v>5.0639704207163759E-2</v>
      </c>
      <c r="D42" s="46" t="s">
        <v>16</v>
      </c>
    </row>
    <row r="43" spans="2:4" ht="18" x14ac:dyDescent="0.35">
      <c r="B43" s="4"/>
      <c r="C43" s="4"/>
      <c r="D43" s="4"/>
    </row>
    <row r="44" spans="2:4" ht="18" x14ac:dyDescent="0.35">
      <c r="B44" s="4"/>
      <c r="C44" s="4"/>
      <c r="D44" s="4"/>
    </row>
    <row r="45" spans="2:4" ht="18" x14ac:dyDescent="0.35">
      <c r="B45" s="42" t="s">
        <v>18</v>
      </c>
      <c r="C45" s="47"/>
      <c r="D45" s="47"/>
    </row>
    <row r="46" spans="2:4" ht="18" x14ac:dyDescent="0.35">
      <c r="B46" s="42" t="s">
        <v>12</v>
      </c>
      <c r="C46" s="50">
        <f>C29*C30/C27</f>
        <v>0.10341666666666667</v>
      </c>
      <c r="D46" s="47"/>
    </row>
    <row r="47" spans="2:4" ht="18" x14ac:dyDescent="0.35">
      <c r="B47" s="42" t="s">
        <v>15</v>
      </c>
      <c r="C47" s="50">
        <f>C46/2</f>
        <v>5.1708333333333335E-2</v>
      </c>
      <c r="D47" s="47"/>
    </row>
  </sheetData>
  <phoneticPr fontId="8" type="noConversion"/>
  <pageMargins left="0.7" right="0.7" top="0.75" bottom="0.75" header="0.3" footer="0.3"/>
  <headerFooter alignWithMargins="0"/>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oglio16"/>
  <dimension ref="B22:D42"/>
  <sheetViews>
    <sheetView zoomScaleNormal="100" workbookViewId="0">
      <selection activeCell="C42" sqref="C42"/>
    </sheetView>
  </sheetViews>
  <sheetFormatPr defaultRowHeight="14.4" x14ac:dyDescent="0.3"/>
  <cols>
    <col min="1" max="1" width="5.5546875" customWidth="1"/>
    <col min="2" max="2" width="25.109375" bestFit="1" customWidth="1"/>
    <col min="3" max="3" width="17.33203125" bestFit="1" customWidth="1"/>
    <col min="4" max="4" width="18.109375" bestFit="1" customWidth="1"/>
    <col min="5" max="5" width="8.33203125" customWidth="1"/>
    <col min="6" max="6" width="5.33203125" bestFit="1" customWidth="1"/>
    <col min="7" max="7" width="43.44140625" bestFit="1" customWidth="1"/>
    <col min="8" max="8" width="18.33203125" customWidth="1"/>
    <col min="9" max="9" width="31.33203125" bestFit="1" customWidth="1"/>
  </cols>
  <sheetData>
    <row r="22" spans="2:4" ht="18" x14ac:dyDescent="0.35">
      <c r="B22" s="15" t="s">
        <v>0</v>
      </c>
      <c r="C22" s="16"/>
      <c r="D22" s="16"/>
    </row>
    <row r="23" spans="2:4" ht="18" x14ac:dyDescent="0.35">
      <c r="B23" s="19" t="s">
        <v>20</v>
      </c>
      <c r="C23" s="18">
        <v>98</v>
      </c>
      <c r="D23" s="18"/>
    </row>
    <row r="24" spans="2:4" ht="18" x14ac:dyDescent="0.35">
      <c r="B24" s="19" t="s">
        <v>6</v>
      </c>
      <c r="C24" s="18">
        <v>102</v>
      </c>
      <c r="D24" s="18"/>
    </row>
    <row r="25" spans="2:4" ht="18" x14ac:dyDescent="0.35">
      <c r="B25" s="19" t="s">
        <v>23</v>
      </c>
      <c r="C25" s="18">
        <v>0</v>
      </c>
      <c r="D25" s="18"/>
    </row>
    <row r="26" spans="2:4" ht="18" x14ac:dyDescent="0.35">
      <c r="B26" s="19" t="s">
        <v>24</v>
      </c>
      <c r="C26" s="18">
        <v>4</v>
      </c>
      <c r="D26" s="20" t="s">
        <v>25</v>
      </c>
    </row>
    <row r="27" spans="2:4" ht="18" x14ac:dyDescent="0.35">
      <c r="B27" s="19" t="s">
        <v>28</v>
      </c>
      <c r="C27" s="18">
        <v>100</v>
      </c>
      <c r="D27" s="20"/>
    </row>
    <row r="28" spans="2:4" ht="18" x14ac:dyDescent="0.35">
      <c r="B28" s="19" t="s">
        <v>27</v>
      </c>
      <c r="C28" s="18">
        <v>9</v>
      </c>
      <c r="D28" s="20" t="s">
        <v>25</v>
      </c>
    </row>
    <row r="29" spans="2:4" ht="18" x14ac:dyDescent="0.35">
      <c r="B29" s="19" t="s">
        <v>29</v>
      </c>
      <c r="C29" s="18">
        <v>7</v>
      </c>
      <c r="D29" s="20" t="s">
        <v>25</v>
      </c>
    </row>
    <row r="32" spans="2:4" ht="21" x14ac:dyDescent="0.4">
      <c r="B32" s="55" t="s">
        <v>26</v>
      </c>
      <c r="C32" s="52"/>
    </row>
    <row r="33" spans="2:3" ht="21" x14ac:dyDescent="0.4">
      <c r="B33" s="55" t="s">
        <v>12</v>
      </c>
      <c r="C33" s="53">
        <f>(C24/C23)^(12/C26)-1</f>
        <v>0.12751489600421606</v>
      </c>
    </row>
    <row r="34" spans="2:3" ht="21" x14ac:dyDescent="0.4">
      <c r="B34" s="55" t="s">
        <v>15</v>
      </c>
      <c r="C34" s="53">
        <f>(1+C33)^(1/2)-1</f>
        <v>6.1845043311036019E-2</v>
      </c>
    </row>
    <row r="35" spans="2:3" ht="21" x14ac:dyDescent="0.4">
      <c r="B35" s="21"/>
      <c r="C35" s="21"/>
    </row>
    <row r="36" spans="2:3" ht="21" x14ac:dyDescent="0.4">
      <c r="B36" s="55" t="s">
        <v>18</v>
      </c>
      <c r="C36" s="52"/>
    </row>
    <row r="37" spans="2:3" ht="21" x14ac:dyDescent="0.4">
      <c r="B37" s="55" t="s">
        <v>12</v>
      </c>
      <c r="C37" s="53">
        <f>(C24-C23)/C23*12/C26</f>
        <v>0.12244897959183673</v>
      </c>
    </row>
    <row r="38" spans="2:3" ht="21" x14ac:dyDescent="0.4">
      <c r="B38" s="55" t="s">
        <v>15</v>
      </c>
      <c r="C38" s="53">
        <f>C37/2</f>
        <v>6.1224489795918366E-2</v>
      </c>
    </row>
    <row r="39" spans="2:3" ht="21" x14ac:dyDescent="0.4">
      <c r="B39" s="21"/>
      <c r="C39" s="21"/>
    </row>
    <row r="40" spans="2:3" ht="21" x14ac:dyDescent="0.4">
      <c r="B40" s="55" t="s">
        <v>30</v>
      </c>
      <c r="C40" s="54">
        <f>C23*(1+C33)^(C29/12-C25/12)-C24*(1+C33)^(C29/12-C26/12)-C27*(1+C33)^(C29/12-C28/12)</f>
        <v>-98.019605881960672</v>
      </c>
    </row>
    <row r="41" spans="2:3" ht="21" x14ac:dyDescent="0.4">
      <c r="B41" s="21" t="s">
        <v>31</v>
      </c>
      <c r="C41" s="21"/>
    </row>
    <row r="42" spans="2:3" ht="21" x14ac:dyDescent="0.4">
      <c r="B42" s="55" t="s">
        <v>30</v>
      </c>
      <c r="C42" s="54">
        <f>-C27*(1+C33)^(C29/12-C28/12)</f>
        <v>-98.019605881960686</v>
      </c>
    </row>
  </sheetData>
  <phoneticPr fontId="8" type="noConversion"/>
  <pageMargins left="0.7" right="0.7" top="0.75" bottom="0.75" header="0.3" footer="0.3"/>
  <pageSetup paperSize="9" orientation="portrait"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oglio17"/>
  <dimension ref="A21:D42"/>
  <sheetViews>
    <sheetView zoomScaleNormal="100" workbookViewId="0">
      <selection activeCell="F25" sqref="F25"/>
    </sheetView>
  </sheetViews>
  <sheetFormatPr defaultRowHeight="14.4" x14ac:dyDescent="0.3"/>
  <cols>
    <col min="1" max="1" width="9.6640625" customWidth="1"/>
    <col min="2" max="2" width="25.109375" bestFit="1" customWidth="1"/>
    <col min="3" max="3" width="14" customWidth="1"/>
    <col min="4" max="4" width="18.109375" bestFit="1" customWidth="1"/>
    <col min="5" max="5" width="5.33203125" bestFit="1" customWidth="1"/>
    <col min="6" max="6" width="43.44140625" bestFit="1" customWidth="1"/>
    <col min="7" max="7" width="18.33203125" customWidth="1"/>
    <col min="8" max="8" width="31.33203125" bestFit="1" customWidth="1"/>
  </cols>
  <sheetData>
    <row r="21" spans="1:4" ht="18" x14ac:dyDescent="0.35">
      <c r="A21" s="2"/>
      <c r="B21" s="2"/>
      <c r="C21" s="1"/>
    </row>
    <row r="22" spans="1:4" ht="18" x14ac:dyDescent="0.35">
      <c r="A22" s="1"/>
      <c r="B22" s="15" t="s">
        <v>0</v>
      </c>
      <c r="C22" s="16"/>
      <c r="D22" s="16"/>
    </row>
    <row r="23" spans="1:4" ht="18" x14ac:dyDescent="0.35">
      <c r="A23" s="1"/>
      <c r="B23" s="19" t="s">
        <v>20</v>
      </c>
      <c r="C23" s="18">
        <v>102</v>
      </c>
      <c r="D23" s="18"/>
    </row>
    <row r="24" spans="1:4" ht="18" x14ac:dyDescent="0.35">
      <c r="A24" s="1"/>
      <c r="B24" s="19" t="s">
        <v>6</v>
      </c>
      <c r="C24" s="18">
        <v>107</v>
      </c>
      <c r="D24" s="18"/>
    </row>
    <row r="25" spans="1:4" ht="18" x14ac:dyDescent="0.35">
      <c r="A25" s="1"/>
      <c r="B25" s="19" t="s">
        <v>23</v>
      </c>
      <c r="C25" s="18">
        <v>0</v>
      </c>
      <c r="D25" s="18"/>
    </row>
    <row r="26" spans="1:4" ht="18" x14ac:dyDescent="0.35">
      <c r="B26" s="19" t="s">
        <v>24</v>
      </c>
      <c r="C26" s="18">
        <v>5</v>
      </c>
      <c r="D26" s="20" t="s">
        <v>25</v>
      </c>
    </row>
    <row r="27" spans="1:4" ht="18" x14ac:dyDescent="0.35">
      <c r="B27" s="19" t="s">
        <v>30</v>
      </c>
      <c r="C27" s="18">
        <v>80</v>
      </c>
      <c r="D27" s="20"/>
    </row>
    <row r="28" spans="1:4" ht="18" x14ac:dyDescent="0.35">
      <c r="B28" s="19" t="s">
        <v>29</v>
      </c>
      <c r="C28" s="18">
        <v>7</v>
      </c>
      <c r="D28" s="20" t="s">
        <v>25</v>
      </c>
    </row>
    <row r="29" spans="1:4" ht="18" x14ac:dyDescent="0.35">
      <c r="B29" s="19" t="s">
        <v>27</v>
      </c>
      <c r="C29" s="18">
        <v>9</v>
      </c>
      <c r="D29" s="20" t="s">
        <v>25</v>
      </c>
    </row>
    <row r="32" spans="1:4" ht="21" x14ac:dyDescent="0.4">
      <c r="B32" s="55" t="s">
        <v>26</v>
      </c>
      <c r="C32" s="52"/>
    </row>
    <row r="33" spans="2:3" ht="21" x14ac:dyDescent="0.4">
      <c r="B33" s="55" t="s">
        <v>12</v>
      </c>
      <c r="C33" s="53">
        <f>(C24/C23)^(12/C26)-1</f>
        <v>0.12171016170275317</v>
      </c>
    </row>
    <row r="34" spans="2:3" ht="21" x14ac:dyDescent="0.4">
      <c r="B34" s="55" t="s">
        <v>15</v>
      </c>
      <c r="C34" s="53">
        <f>(1+C33)^(1/2)-1</f>
        <v>5.9108191689004608E-2</v>
      </c>
    </row>
    <row r="35" spans="2:3" ht="21" x14ac:dyDescent="0.4">
      <c r="B35" s="21"/>
      <c r="C35" s="21"/>
    </row>
    <row r="36" spans="2:3" ht="21" x14ac:dyDescent="0.4">
      <c r="B36" s="55" t="s">
        <v>18</v>
      </c>
      <c r="C36" s="52"/>
    </row>
    <row r="37" spans="2:3" ht="21" x14ac:dyDescent="0.4">
      <c r="B37" s="55" t="s">
        <v>12</v>
      </c>
      <c r="C37" s="53">
        <f>(C24-C23)/C23*12/C26</f>
        <v>0.11764705882352941</v>
      </c>
    </row>
    <row r="38" spans="2:3" ht="21" x14ac:dyDescent="0.4">
      <c r="B38" s="55" t="s">
        <v>15</v>
      </c>
      <c r="C38" s="53">
        <f>C37/2</f>
        <v>5.8823529411764705E-2</v>
      </c>
    </row>
    <row r="40" spans="2:3" ht="21" x14ac:dyDescent="0.4">
      <c r="B40" s="55" t="s">
        <v>28</v>
      </c>
      <c r="C40" s="54">
        <f>C23*(1+C33)^(C29/12-C25/12)-C24*(1+C33)^(C29/12-C26/12)-C27*(1+C33)^(C29/12-C28/12)</f>
        <v>-81.546143924223543</v>
      </c>
    </row>
    <row r="41" spans="2:3" ht="21" x14ac:dyDescent="0.4">
      <c r="B41" s="21" t="s">
        <v>31</v>
      </c>
    </row>
    <row r="42" spans="2:3" ht="21" x14ac:dyDescent="0.4">
      <c r="B42" s="55" t="s">
        <v>28</v>
      </c>
      <c r="C42" s="54">
        <f>-C27*(1+C33)^(C29/12-C28/12)</f>
        <v>-81.546143924223543</v>
      </c>
    </row>
  </sheetData>
  <phoneticPr fontId="8" type="noConversion"/>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oglio18"/>
  <dimension ref="B1:F58"/>
  <sheetViews>
    <sheetView zoomScaleNormal="100" workbookViewId="0">
      <selection activeCell="F48" sqref="F48"/>
    </sheetView>
  </sheetViews>
  <sheetFormatPr defaultRowHeight="14.4" x14ac:dyDescent="0.3"/>
  <cols>
    <col min="1" max="1" width="10" customWidth="1"/>
    <col min="2" max="2" width="26.5546875" bestFit="1" customWidth="1"/>
    <col min="3" max="3" width="14" customWidth="1"/>
    <col min="4" max="4" width="16.6640625" bestFit="1" customWidth="1"/>
    <col min="5" max="5" width="5.88671875" bestFit="1" customWidth="1"/>
    <col min="6" max="6" width="51.33203125" bestFit="1" customWidth="1"/>
    <col min="7" max="7" width="28" bestFit="1" customWidth="1"/>
    <col min="8" max="8" width="31.33203125" bestFit="1" customWidth="1"/>
    <col min="9" max="9" width="11" bestFit="1" customWidth="1"/>
  </cols>
  <sheetData>
    <row r="1" ht="15" customHeight="1" x14ac:dyDescent="0.3"/>
    <row r="2" ht="15" customHeight="1" x14ac:dyDescent="0.3"/>
    <row r="3" ht="15" customHeight="1" x14ac:dyDescent="0.3"/>
    <row r="4" ht="15" customHeight="1" x14ac:dyDescent="0.3"/>
    <row r="5" ht="15" customHeight="1" x14ac:dyDescent="0.3"/>
    <row r="6" ht="15" customHeight="1" x14ac:dyDescent="0.3"/>
    <row r="7" ht="15" customHeight="1" x14ac:dyDescent="0.3"/>
    <row r="8" ht="15" customHeight="1" x14ac:dyDescent="0.3"/>
    <row r="9" ht="15" customHeight="1" x14ac:dyDescent="0.3"/>
    <row r="10" ht="15" customHeight="1" x14ac:dyDescent="0.3"/>
    <row r="11" ht="15" customHeight="1" x14ac:dyDescent="0.3"/>
    <row r="12" ht="15" customHeight="1" x14ac:dyDescent="0.3"/>
    <row r="13" ht="15" customHeight="1" x14ac:dyDescent="0.3"/>
    <row r="14" ht="15" customHeight="1" x14ac:dyDescent="0.3"/>
    <row r="15" ht="15" customHeight="1" x14ac:dyDescent="0.3"/>
    <row r="16" ht="15" customHeight="1" x14ac:dyDescent="0.3"/>
    <row r="17" spans="2:5" ht="15" customHeight="1" x14ac:dyDescent="0.3"/>
    <row r="18" spans="2:5" ht="15" customHeight="1" x14ac:dyDescent="0.3"/>
    <row r="19" spans="2:5" ht="15" customHeight="1" x14ac:dyDescent="0.3"/>
    <row r="20" spans="2:5" ht="15" customHeight="1" x14ac:dyDescent="0.3"/>
    <row r="21" spans="2:5" ht="15" customHeight="1" x14ac:dyDescent="0.3"/>
    <row r="22" spans="2:5" ht="15" customHeight="1" x14ac:dyDescent="0.35">
      <c r="C22" s="1"/>
    </row>
    <row r="23" spans="2:5" ht="15" customHeight="1" x14ac:dyDescent="0.35">
      <c r="C23" s="1"/>
    </row>
    <row r="24" spans="2:5" ht="15" customHeight="1" x14ac:dyDescent="0.35">
      <c r="C24" s="1"/>
    </row>
    <row r="25" spans="2:5" ht="15" customHeight="1" x14ac:dyDescent="0.35">
      <c r="C25" s="1"/>
    </row>
    <row r="26" spans="2:5" ht="15" customHeight="1" x14ac:dyDescent="0.4">
      <c r="B26" s="21"/>
      <c r="C26" s="21"/>
      <c r="D26" s="21"/>
      <c r="E26" s="21"/>
    </row>
    <row r="27" spans="2:5" ht="20.100000000000001" customHeight="1" x14ac:dyDescent="0.4">
      <c r="B27" s="21"/>
      <c r="C27" s="21"/>
      <c r="D27" s="21"/>
      <c r="E27" s="21"/>
    </row>
    <row r="28" spans="2:5" ht="20.100000000000001" customHeight="1" x14ac:dyDescent="0.4">
      <c r="B28" s="22" t="s">
        <v>0</v>
      </c>
      <c r="C28" s="22"/>
      <c r="D28" s="22"/>
      <c r="E28" s="21"/>
    </row>
    <row r="29" spans="2:5" ht="20.100000000000001" customHeight="1" x14ac:dyDescent="0.4">
      <c r="B29" s="23" t="s">
        <v>20</v>
      </c>
      <c r="C29" s="24">
        <v>102</v>
      </c>
      <c r="D29" s="24"/>
      <c r="E29" s="21"/>
    </row>
    <row r="30" spans="2:5" ht="20.100000000000001" customHeight="1" x14ac:dyDescent="0.4">
      <c r="B30" s="23" t="s">
        <v>6</v>
      </c>
      <c r="C30" s="24">
        <v>107</v>
      </c>
      <c r="D30" s="24"/>
      <c r="E30" s="21"/>
    </row>
    <row r="31" spans="2:5" ht="20.100000000000001" customHeight="1" x14ac:dyDescent="0.4">
      <c r="B31" s="23" t="s">
        <v>23</v>
      </c>
      <c r="C31" s="24">
        <v>0</v>
      </c>
      <c r="D31" s="24"/>
      <c r="E31" s="21"/>
    </row>
    <row r="32" spans="2:5" ht="20.100000000000001" customHeight="1" x14ac:dyDescent="0.4">
      <c r="B32" s="23" t="s">
        <v>24</v>
      </c>
      <c r="C32" s="24">
        <v>140</v>
      </c>
      <c r="D32" s="24" t="s">
        <v>2</v>
      </c>
      <c r="E32" s="21"/>
    </row>
    <row r="33" spans="2:6" ht="20.100000000000001" customHeight="1" x14ac:dyDescent="0.4">
      <c r="B33" s="23" t="s">
        <v>5</v>
      </c>
      <c r="C33" s="24">
        <v>360</v>
      </c>
      <c r="D33" s="24"/>
      <c r="E33" s="21"/>
    </row>
    <row r="34" spans="2:6" ht="20.100000000000001" customHeight="1" x14ac:dyDescent="0.4">
      <c r="B34" s="23" t="s">
        <v>32</v>
      </c>
      <c r="C34" s="24">
        <v>30</v>
      </c>
      <c r="D34" s="24"/>
      <c r="E34" s="21"/>
    </row>
    <row r="35" spans="2:6" ht="20.100000000000001" customHeight="1" x14ac:dyDescent="0.4">
      <c r="B35" s="23" t="s">
        <v>30</v>
      </c>
      <c r="C35" s="24">
        <v>50</v>
      </c>
      <c r="D35" s="24"/>
      <c r="E35" s="21"/>
    </row>
    <row r="36" spans="2:6" ht="20.100000000000001" customHeight="1" x14ac:dyDescent="0.4">
      <c r="B36" s="23" t="s">
        <v>29</v>
      </c>
      <c r="C36" s="24">
        <v>180</v>
      </c>
      <c r="D36" s="24" t="s">
        <v>2</v>
      </c>
      <c r="E36" s="21"/>
    </row>
    <row r="37" spans="2:6" ht="20.100000000000001" customHeight="1" x14ac:dyDescent="0.4">
      <c r="B37" s="26" t="s">
        <v>27</v>
      </c>
      <c r="C37" s="25">
        <v>210</v>
      </c>
      <c r="D37" s="25" t="s">
        <v>2</v>
      </c>
      <c r="E37" s="21"/>
    </row>
    <row r="38" spans="2:6" ht="20.100000000000001" customHeight="1" x14ac:dyDescent="0.4">
      <c r="B38" s="21"/>
      <c r="C38" s="21"/>
      <c r="D38" s="21"/>
      <c r="E38" s="21"/>
    </row>
    <row r="39" spans="2:6" ht="20.100000000000001" customHeight="1" x14ac:dyDescent="0.4">
      <c r="B39" s="55" t="s">
        <v>33</v>
      </c>
      <c r="C39" s="52"/>
      <c r="D39" s="52"/>
      <c r="E39" s="21"/>
    </row>
    <row r="40" spans="2:6" ht="20.100000000000001" customHeight="1" x14ac:dyDescent="0.4">
      <c r="B40" s="55" t="s">
        <v>13</v>
      </c>
      <c r="C40" s="52">
        <f>LN(C30/C29)*C33/C32</f>
        <v>0.12305834017106179</v>
      </c>
      <c r="D40" s="52" t="s">
        <v>14</v>
      </c>
      <c r="E40" s="21"/>
      <c r="F40" s="21"/>
    </row>
    <row r="41" spans="2:6" ht="20.100000000000001" customHeight="1" x14ac:dyDescent="0.4">
      <c r="B41" s="55" t="s">
        <v>15</v>
      </c>
      <c r="C41" s="53">
        <f>(C30/C29)^(180/C32)-1</f>
        <v>6.3461517339777229E-2</v>
      </c>
      <c r="D41" s="52"/>
      <c r="E41" s="21"/>
      <c r="F41" s="21"/>
    </row>
    <row r="42" spans="2:6" ht="20.100000000000001" customHeight="1" x14ac:dyDescent="0.4">
      <c r="B42" s="55" t="s">
        <v>35</v>
      </c>
      <c r="C42" s="53">
        <f>(1+C41)^(1/6)-1</f>
        <v>1.0307622973993347E-2</v>
      </c>
      <c r="D42" s="52"/>
      <c r="E42" s="21"/>
      <c r="F42" s="21"/>
    </row>
    <row r="43" spans="2:6" ht="20.100000000000001" customHeight="1" x14ac:dyDescent="0.4">
      <c r="B43" s="21"/>
      <c r="C43" s="21"/>
      <c r="D43" s="21"/>
      <c r="E43" s="21"/>
      <c r="F43" s="21"/>
    </row>
    <row r="44" spans="2:6" ht="20.100000000000001" customHeight="1" x14ac:dyDescent="0.4">
      <c r="B44" s="55" t="s">
        <v>34</v>
      </c>
      <c r="C44" s="52"/>
      <c r="D44" s="52"/>
      <c r="E44" s="21"/>
      <c r="F44" s="21"/>
    </row>
    <row r="45" spans="2:6" ht="20.100000000000001" customHeight="1" x14ac:dyDescent="0.4">
      <c r="B45" s="55" t="s">
        <v>12</v>
      </c>
      <c r="C45" s="52">
        <f>(C30-C29)/C29*C33/C32</f>
        <v>0.12605042016806722</v>
      </c>
      <c r="D45" s="52"/>
      <c r="E45" s="21"/>
      <c r="F45" s="21"/>
    </row>
    <row r="46" spans="2:6" ht="20.100000000000001" customHeight="1" x14ac:dyDescent="0.4">
      <c r="B46" s="55" t="s">
        <v>15</v>
      </c>
      <c r="C46" s="52">
        <f>C45/2</f>
        <v>6.3025210084033612E-2</v>
      </c>
      <c r="D46" s="52"/>
      <c r="E46" s="21"/>
      <c r="F46" s="21"/>
    </row>
    <row r="47" spans="2:6" ht="20.100000000000001" customHeight="1" x14ac:dyDescent="0.4">
      <c r="B47" s="21"/>
      <c r="C47" s="21"/>
      <c r="D47" s="21"/>
      <c r="E47" s="21"/>
      <c r="F47" s="21"/>
    </row>
    <row r="48" spans="2:6" ht="20.100000000000001" customHeight="1" x14ac:dyDescent="0.4">
      <c r="B48" s="21"/>
      <c r="C48" s="21"/>
      <c r="D48" s="21"/>
      <c r="E48" s="21"/>
      <c r="F48" s="21"/>
    </row>
    <row r="49" spans="2:6" ht="20.100000000000001" customHeight="1" x14ac:dyDescent="0.4">
      <c r="B49" s="55" t="s">
        <v>28</v>
      </c>
      <c r="C49" s="54">
        <f>-C35*EXP(C40*(C37-C36)/C33)</f>
        <v>-50.515381148699667</v>
      </c>
      <c r="D49" s="21"/>
      <c r="E49" s="21"/>
      <c r="F49" s="21"/>
    </row>
    <row r="50" spans="2:6" ht="20.100000000000001" customHeight="1" x14ac:dyDescent="0.4">
      <c r="B50" s="21"/>
      <c r="C50" s="21"/>
      <c r="D50" s="21"/>
      <c r="E50" s="21"/>
      <c r="F50" s="21"/>
    </row>
    <row r="51" spans="2:6" ht="15" customHeight="1" x14ac:dyDescent="0.4">
      <c r="B51" s="21"/>
      <c r="C51" s="21"/>
      <c r="D51" s="21"/>
      <c r="E51" s="21"/>
      <c r="F51" s="21"/>
    </row>
    <row r="52" spans="2:6" ht="15" customHeight="1" x14ac:dyDescent="0.4">
      <c r="B52" s="21"/>
      <c r="C52" s="21"/>
      <c r="D52" s="21"/>
      <c r="E52" s="21"/>
      <c r="F52" s="21"/>
    </row>
    <row r="53" spans="2:6" ht="21" x14ac:dyDescent="0.4">
      <c r="B53" s="21"/>
      <c r="C53" s="21"/>
      <c r="D53" s="21"/>
      <c r="E53" s="21"/>
      <c r="F53" s="21"/>
    </row>
    <row r="54" spans="2:6" ht="21" x14ac:dyDescent="0.4">
      <c r="B54" s="21"/>
      <c r="C54" s="21"/>
      <c r="D54" s="21"/>
      <c r="E54" s="21"/>
      <c r="F54" s="21"/>
    </row>
    <row r="55" spans="2:6" ht="21" x14ac:dyDescent="0.4">
      <c r="B55" s="21"/>
      <c r="C55" s="21"/>
      <c r="D55" s="21"/>
      <c r="E55" s="21"/>
      <c r="F55" s="21"/>
    </row>
    <row r="56" spans="2:6" ht="21" x14ac:dyDescent="0.4">
      <c r="B56" s="21"/>
      <c r="C56" s="21"/>
      <c r="D56" s="21"/>
      <c r="E56" s="21"/>
      <c r="F56" s="21"/>
    </row>
    <row r="57" spans="2:6" ht="21" x14ac:dyDescent="0.4">
      <c r="B57" s="21"/>
      <c r="C57" s="21"/>
      <c r="D57" s="21"/>
      <c r="E57" s="21"/>
      <c r="F57" s="21"/>
    </row>
    <row r="58" spans="2:6" ht="21" x14ac:dyDescent="0.4">
      <c r="B58" s="21"/>
      <c r="C58" s="21"/>
      <c r="D58" s="21"/>
      <c r="E58" s="21"/>
      <c r="F58" s="21"/>
    </row>
  </sheetData>
  <phoneticPr fontId="8" type="noConversion"/>
  <pageMargins left="0.7" right="0.7" top="0.75" bottom="0.75" header="0.3" footer="0.3"/>
  <pageSetup paperSize="9" orientation="portrait" horizontalDpi="4294967293"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oglio20"/>
  <dimension ref="B17:E36"/>
  <sheetViews>
    <sheetView workbookViewId="0">
      <selection activeCell="C34" sqref="C34:C36"/>
    </sheetView>
  </sheetViews>
  <sheetFormatPr defaultColWidth="9.109375" defaultRowHeight="18" x14ac:dyDescent="0.35"/>
  <cols>
    <col min="1" max="1" width="9.109375" style="4"/>
    <col min="2" max="2" width="4" style="4" customWidth="1"/>
    <col min="3" max="3" width="22.88671875" style="4" bestFit="1" customWidth="1"/>
    <col min="4" max="4" width="13.6640625" style="4" bestFit="1" customWidth="1"/>
    <col min="5" max="5" width="9.109375" style="4"/>
    <col min="6" max="6" width="5.33203125" style="4" bestFit="1" customWidth="1"/>
    <col min="7" max="7" width="57.88671875" style="4" customWidth="1"/>
    <col min="8" max="8" width="11.44140625" style="4" customWidth="1"/>
    <col min="9" max="9" width="14.5546875" style="4" bestFit="1" customWidth="1"/>
    <col min="10" max="10" width="9.6640625" style="4" bestFit="1" customWidth="1"/>
    <col min="11" max="11" width="10.33203125" style="4" bestFit="1" customWidth="1"/>
    <col min="12" max="16384" width="9.109375" style="4"/>
  </cols>
  <sheetData>
    <row r="17" spans="2:5" x14ac:dyDescent="0.35">
      <c r="C17" s="15" t="s">
        <v>0</v>
      </c>
      <c r="D17" s="16"/>
      <c r="E17" s="16"/>
    </row>
    <row r="18" spans="2:5" x14ac:dyDescent="0.35">
      <c r="C18" s="19" t="s">
        <v>23</v>
      </c>
      <c r="D18" s="18">
        <v>0</v>
      </c>
      <c r="E18" s="18"/>
    </row>
    <row r="19" spans="2:5" x14ac:dyDescent="0.35">
      <c r="C19" s="19" t="s">
        <v>24</v>
      </c>
      <c r="D19" s="18">
        <f>3.5</f>
        <v>3.5</v>
      </c>
      <c r="E19" s="18"/>
    </row>
    <row r="20" spans="2:5" x14ac:dyDescent="0.35">
      <c r="C20" s="19" t="s">
        <v>57</v>
      </c>
      <c r="D20" s="18">
        <v>50</v>
      </c>
      <c r="E20" s="18"/>
    </row>
    <row r="21" spans="2:5" x14ac:dyDescent="0.35">
      <c r="C21" s="19" t="s">
        <v>38</v>
      </c>
      <c r="D21" s="18"/>
      <c r="E21" s="18"/>
    </row>
    <row r="22" spans="2:5" x14ac:dyDescent="0.35">
      <c r="C22" s="19" t="s">
        <v>15</v>
      </c>
      <c r="D22" s="18">
        <f>5.5%</f>
        <v>5.5E-2</v>
      </c>
      <c r="E22" s="18"/>
    </row>
    <row r="23" spans="2:5" x14ac:dyDescent="0.35">
      <c r="C23" s="19" t="s">
        <v>12</v>
      </c>
      <c r="D23" s="18">
        <f>12%</f>
        <v>0.12</v>
      </c>
      <c r="E23" s="18"/>
    </row>
    <row r="24" spans="2:5" x14ac:dyDescent="0.35">
      <c r="C24" s="19" t="s">
        <v>13</v>
      </c>
      <c r="D24" s="18">
        <v>0.11</v>
      </c>
      <c r="E24" s="20" t="s">
        <v>14</v>
      </c>
    </row>
    <row r="25" spans="2:5" x14ac:dyDescent="0.35">
      <c r="C25" s="19" t="s">
        <v>40</v>
      </c>
      <c r="D25" s="18"/>
      <c r="E25" s="18"/>
    </row>
    <row r="26" spans="2:5" x14ac:dyDescent="0.35">
      <c r="C26" s="19" t="s">
        <v>15</v>
      </c>
      <c r="D26" s="18">
        <f>6%</f>
        <v>0.06</v>
      </c>
      <c r="E26" s="18"/>
    </row>
    <row r="27" spans="2:5" x14ac:dyDescent="0.35">
      <c r="C27" s="19" t="s">
        <v>12</v>
      </c>
      <c r="D27" s="18">
        <f>11.5%</f>
        <v>0.115</v>
      </c>
      <c r="E27" s="18"/>
    </row>
    <row r="29" spans="2:5" x14ac:dyDescent="0.35">
      <c r="C29" s="42" t="s">
        <v>11</v>
      </c>
      <c r="D29" s="47"/>
    </row>
    <row r="30" spans="2:5" x14ac:dyDescent="0.35">
      <c r="B30" s="56" t="s">
        <v>46</v>
      </c>
      <c r="C30" s="42" t="s">
        <v>36</v>
      </c>
      <c r="D30" s="49">
        <f>D20/((1+D22)^(D19*2)-1)</f>
        <v>109.96765252077822</v>
      </c>
    </row>
    <row r="31" spans="2:5" x14ac:dyDescent="0.35">
      <c r="B31" s="56" t="s">
        <v>47</v>
      </c>
      <c r="C31" s="42" t="s">
        <v>36</v>
      </c>
      <c r="D31" s="49">
        <f>D20/((1+D23)^D19-1)</f>
        <v>102.70398240064894</v>
      </c>
    </row>
    <row r="32" spans="2:5" x14ac:dyDescent="0.35">
      <c r="B32" s="56" t="s">
        <v>48</v>
      </c>
      <c r="C32" s="42" t="s">
        <v>36</v>
      </c>
      <c r="D32" s="49">
        <f>D20/(EXP(D24*D19)-1)</f>
        <v>106.47034751104026</v>
      </c>
    </row>
    <row r="33" spans="2:4" x14ac:dyDescent="0.35">
      <c r="B33" s="56"/>
    </row>
    <row r="34" spans="2:4" x14ac:dyDescent="0.35">
      <c r="B34" s="57"/>
      <c r="C34" s="42" t="s">
        <v>58</v>
      </c>
      <c r="D34" s="47"/>
    </row>
    <row r="35" spans="2:4" x14ac:dyDescent="0.35">
      <c r="B35" s="56" t="s">
        <v>49</v>
      </c>
      <c r="C35" s="42" t="s">
        <v>36</v>
      </c>
      <c r="D35" s="49">
        <f>D20/(D26*D19*2)</f>
        <v>119.04761904761905</v>
      </c>
    </row>
    <row r="36" spans="2:4" x14ac:dyDescent="0.35">
      <c r="B36" s="56" t="s">
        <v>50</v>
      </c>
      <c r="C36" s="42" t="s">
        <v>36</v>
      </c>
      <c r="D36" s="49">
        <f>D20/(D27*D19)</f>
        <v>124.22360248447204</v>
      </c>
    </row>
  </sheetData>
  <phoneticPr fontId="8" type="noConversion"/>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ublished="0" codeName="Foglio33"/>
  <dimension ref="A2:M40"/>
  <sheetViews>
    <sheetView workbookViewId="0">
      <selection activeCell="G24" sqref="G24"/>
    </sheetView>
  </sheetViews>
  <sheetFormatPr defaultRowHeight="14.4" x14ac:dyDescent="0.3"/>
  <cols>
    <col min="2" max="2" width="21.88671875" customWidth="1"/>
    <col min="3" max="3" width="16.88671875" bestFit="1" customWidth="1"/>
  </cols>
  <sheetData>
    <row r="2" spans="2:13" x14ac:dyDescent="0.3">
      <c r="B2" s="131" t="s">
        <v>124</v>
      </c>
      <c r="C2" s="131"/>
      <c r="D2" s="131"/>
      <c r="E2" s="131"/>
      <c r="F2" s="131"/>
      <c r="G2" s="131"/>
      <c r="H2" s="131"/>
      <c r="I2" s="131"/>
      <c r="J2" s="131"/>
      <c r="K2" s="131"/>
    </row>
    <row r="3" spans="2:13" x14ac:dyDescent="0.3">
      <c r="B3" s="131"/>
      <c r="C3" s="131"/>
      <c r="D3" s="131"/>
      <c r="E3" s="131"/>
      <c r="F3" s="131"/>
      <c r="G3" s="131"/>
      <c r="H3" s="131"/>
      <c r="I3" s="131"/>
      <c r="J3" s="131"/>
      <c r="K3" s="131"/>
    </row>
    <row r="4" spans="2:13" x14ac:dyDescent="0.3">
      <c r="B4" s="131"/>
      <c r="C4" s="131"/>
      <c r="D4" s="131"/>
      <c r="E4" s="131"/>
      <c r="F4" s="131"/>
      <c r="G4" s="131"/>
      <c r="H4" s="131"/>
      <c r="I4" s="131"/>
      <c r="J4" s="131"/>
      <c r="K4" s="131"/>
    </row>
    <row r="5" spans="2:13" x14ac:dyDescent="0.3">
      <c r="B5" s="131"/>
      <c r="C5" s="131"/>
      <c r="D5" s="131"/>
      <c r="E5" s="131"/>
      <c r="F5" s="131"/>
      <c r="G5" s="131"/>
      <c r="H5" s="131"/>
      <c r="I5" s="131"/>
      <c r="J5" s="131"/>
      <c r="K5" s="131"/>
    </row>
    <row r="6" spans="2:13" x14ac:dyDescent="0.3">
      <c r="B6" s="131"/>
      <c r="C6" s="131"/>
      <c r="D6" s="131"/>
      <c r="E6" s="131"/>
      <c r="F6" s="131"/>
      <c r="G6" s="131"/>
      <c r="H6" s="131"/>
      <c r="I6" s="131"/>
      <c r="J6" s="131"/>
      <c r="K6" s="131"/>
    </row>
    <row r="7" spans="2:13" x14ac:dyDescent="0.3">
      <c r="B7" s="131"/>
      <c r="C7" s="131"/>
      <c r="D7" s="131"/>
      <c r="E7" s="131"/>
      <c r="F7" s="131"/>
      <c r="G7" s="131"/>
      <c r="H7" s="131"/>
      <c r="I7" s="131"/>
      <c r="J7" s="131"/>
      <c r="K7" s="131"/>
    </row>
    <row r="8" spans="2:13" x14ac:dyDescent="0.3">
      <c r="B8" s="131"/>
      <c r="C8" s="131"/>
      <c r="D8" s="131"/>
      <c r="E8" s="131"/>
      <c r="F8" s="131"/>
      <c r="G8" s="131"/>
      <c r="H8" s="131"/>
      <c r="I8" s="131"/>
      <c r="J8" s="131"/>
      <c r="K8" s="131"/>
    </row>
    <row r="9" spans="2:13" x14ac:dyDescent="0.3">
      <c r="B9" s="131"/>
      <c r="C9" s="131"/>
      <c r="D9" s="131"/>
      <c r="E9" s="131"/>
      <c r="F9" s="131"/>
      <c r="G9" s="131"/>
      <c r="H9" s="131"/>
      <c r="I9" s="131"/>
      <c r="J9" s="131"/>
      <c r="K9" s="131"/>
    </row>
    <row r="10" spans="2:13" x14ac:dyDescent="0.3">
      <c r="B10" s="131"/>
      <c r="C10" s="131"/>
      <c r="D10" s="131"/>
      <c r="E10" s="131"/>
      <c r="F10" s="131"/>
      <c r="G10" s="131"/>
      <c r="H10" s="131"/>
      <c r="I10" s="131"/>
      <c r="J10" s="131"/>
      <c r="K10" s="131"/>
    </row>
    <row r="11" spans="2:13" x14ac:dyDescent="0.3">
      <c r="B11" s="131"/>
      <c r="C11" s="131"/>
      <c r="D11" s="131"/>
      <c r="E11" s="131"/>
      <c r="F11" s="131"/>
      <c r="G11" s="131"/>
      <c r="H11" s="131"/>
      <c r="I11" s="131"/>
      <c r="J11" s="131"/>
      <c r="K11" s="131"/>
    </row>
    <row r="12" spans="2:13" x14ac:dyDescent="0.3">
      <c r="B12" s="131"/>
      <c r="C12" s="131"/>
      <c r="D12" s="131"/>
      <c r="E12" s="131"/>
      <c r="F12" s="131"/>
      <c r="G12" s="131"/>
      <c r="H12" s="131"/>
      <c r="I12" s="131"/>
      <c r="J12" s="131"/>
      <c r="K12" s="131"/>
    </row>
    <row r="13" spans="2:13" x14ac:dyDescent="0.3">
      <c r="B13" s="131"/>
      <c r="C13" s="131"/>
      <c r="D13" s="131"/>
      <c r="E13" s="131"/>
      <c r="F13" s="131"/>
      <c r="G13" s="131"/>
      <c r="H13" s="131"/>
      <c r="I13" s="131"/>
      <c r="J13" s="131"/>
      <c r="K13" s="131"/>
    </row>
    <row r="15" spans="2:13" ht="18" x14ac:dyDescent="0.35">
      <c r="B15" s="80"/>
      <c r="C15" s="80"/>
      <c r="D15" s="80"/>
      <c r="E15" s="80"/>
      <c r="F15" s="80"/>
      <c r="G15" s="80"/>
      <c r="H15" s="80"/>
      <c r="I15" s="80"/>
      <c r="J15" s="80"/>
      <c r="K15" s="80"/>
      <c r="L15" s="80"/>
      <c r="M15" s="80"/>
    </row>
    <row r="16" spans="2:13" ht="18" x14ac:dyDescent="0.35">
      <c r="B16" s="81" t="s">
        <v>125</v>
      </c>
      <c r="C16" s="95">
        <v>42649</v>
      </c>
      <c r="D16" s="80"/>
      <c r="E16" s="80"/>
      <c r="F16" s="80"/>
      <c r="G16" s="80"/>
      <c r="H16" s="80"/>
      <c r="I16" s="80"/>
      <c r="J16" s="80"/>
      <c r="K16" s="80"/>
      <c r="L16" s="80"/>
      <c r="M16" s="80"/>
    </row>
    <row r="17" spans="1:13" ht="18" x14ac:dyDescent="0.35">
      <c r="B17" s="81" t="s">
        <v>126</v>
      </c>
      <c r="C17" s="95">
        <v>42743</v>
      </c>
      <c r="D17" s="80"/>
      <c r="E17" s="80"/>
      <c r="F17" s="80"/>
      <c r="G17" s="80"/>
      <c r="H17" s="80"/>
      <c r="I17" s="80"/>
      <c r="J17" s="80"/>
      <c r="K17" s="80"/>
      <c r="L17" s="80"/>
      <c r="M17" s="80"/>
    </row>
    <row r="18" spans="1:13" ht="18" x14ac:dyDescent="0.35">
      <c r="B18" s="81" t="s">
        <v>127</v>
      </c>
      <c r="C18" s="96">
        <v>99.254000000000005</v>
      </c>
      <c r="D18" s="80"/>
      <c r="E18" s="80"/>
      <c r="F18" s="80"/>
      <c r="G18" s="80"/>
      <c r="H18" s="80"/>
      <c r="I18" s="80"/>
      <c r="J18" s="80"/>
      <c r="K18" s="80"/>
      <c r="L18" s="80"/>
      <c r="M18" s="80"/>
    </row>
    <row r="19" spans="1:13" ht="18" x14ac:dyDescent="0.35">
      <c r="B19" s="81" t="s">
        <v>128</v>
      </c>
      <c r="C19" s="96">
        <v>100</v>
      </c>
      <c r="D19" s="80"/>
      <c r="E19" s="80"/>
      <c r="F19" s="80"/>
      <c r="G19" s="80"/>
      <c r="H19" s="80"/>
      <c r="I19" s="80"/>
      <c r="J19" s="80"/>
      <c r="K19" s="80"/>
      <c r="L19" s="80"/>
      <c r="M19" s="80"/>
    </row>
    <row r="20" spans="1:13" ht="18" x14ac:dyDescent="0.35">
      <c r="B20" s="80"/>
      <c r="C20" s="80"/>
      <c r="D20" s="80"/>
      <c r="E20" s="80"/>
      <c r="F20" s="80"/>
      <c r="G20" s="80"/>
      <c r="H20" s="80"/>
      <c r="I20" s="80"/>
      <c r="J20" s="80"/>
      <c r="K20" s="80"/>
      <c r="L20" s="80"/>
      <c r="M20" s="80"/>
    </row>
    <row r="21" spans="1:13" ht="18" x14ac:dyDescent="0.35">
      <c r="B21" s="80" t="s">
        <v>129</v>
      </c>
      <c r="C21" s="80">
        <f>C17-C16</f>
        <v>94</v>
      </c>
      <c r="D21" s="80" t="s">
        <v>2</v>
      </c>
      <c r="E21" s="80"/>
      <c r="F21" s="80"/>
      <c r="G21" s="80"/>
      <c r="H21" s="80"/>
      <c r="I21" s="80"/>
      <c r="J21" s="80"/>
      <c r="K21" s="80"/>
      <c r="L21" s="80"/>
      <c r="M21" s="80"/>
    </row>
    <row r="22" spans="1:13" ht="18" x14ac:dyDescent="0.35">
      <c r="B22" s="80"/>
      <c r="C22" s="80"/>
      <c r="D22" s="80"/>
      <c r="E22" s="80"/>
      <c r="F22" s="80"/>
      <c r="G22" s="80"/>
      <c r="H22" s="80"/>
      <c r="I22" s="80"/>
      <c r="J22" s="80"/>
      <c r="K22" s="80"/>
      <c r="L22" s="80"/>
      <c r="M22" s="80"/>
    </row>
    <row r="23" spans="1:13" ht="18" x14ac:dyDescent="0.35">
      <c r="A23" s="127" t="s">
        <v>42</v>
      </c>
      <c r="B23" s="94">
        <f>C16</f>
        <v>42649</v>
      </c>
      <c r="C23" s="94">
        <f>C17</f>
        <v>42743</v>
      </c>
      <c r="D23" s="80"/>
      <c r="E23" s="80"/>
      <c r="F23" s="80"/>
      <c r="G23" s="80"/>
      <c r="H23" s="80"/>
      <c r="I23" s="80"/>
      <c r="J23" s="80"/>
      <c r="K23" s="80"/>
      <c r="L23" s="80"/>
      <c r="M23" s="80"/>
    </row>
    <row r="24" spans="1:13" ht="18" x14ac:dyDescent="0.35">
      <c r="A24" s="127"/>
      <c r="B24" s="97">
        <f>-C18</f>
        <v>-99.254000000000005</v>
      </c>
      <c r="C24" s="97">
        <f>C19</f>
        <v>100</v>
      </c>
      <c r="D24" s="80"/>
      <c r="E24" s="80"/>
      <c r="F24" s="80"/>
      <c r="G24" s="80"/>
      <c r="H24" s="80"/>
      <c r="I24" s="80"/>
      <c r="J24" s="80"/>
      <c r="K24" s="80"/>
      <c r="L24" s="80"/>
      <c r="M24" s="80"/>
    </row>
    <row r="25" spans="1:13" ht="18" x14ac:dyDescent="0.35">
      <c r="B25" s="80"/>
      <c r="C25" s="80"/>
      <c r="D25" s="80"/>
      <c r="E25" s="80"/>
      <c r="F25" s="80"/>
      <c r="G25" s="80"/>
      <c r="H25" s="80"/>
      <c r="I25" s="80"/>
      <c r="J25" s="80"/>
      <c r="K25" s="80"/>
      <c r="L25" s="80"/>
      <c r="M25" s="80"/>
    </row>
    <row r="26" spans="1:13" ht="18" x14ac:dyDescent="0.35">
      <c r="A26" s="132" t="s">
        <v>43</v>
      </c>
      <c r="B26" s="70" t="s">
        <v>57</v>
      </c>
      <c r="C26" s="98">
        <f>C19-C18</f>
        <v>0.74599999999999511</v>
      </c>
      <c r="D26" s="80"/>
      <c r="E26" s="80"/>
      <c r="F26" s="80"/>
      <c r="G26" s="80"/>
      <c r="H26" s="80"/>
      <c r="I26" s="80"/>
      <c r="J26" s="80"/>
      <c r="K26" s="80"/>
      <c r="L26" s="80"/>
      <c r="M26" s="80"/>
    </row>
    <row r="27" spans="1:13" ht="18" x14ac:dyDescent="0.35">
      <c r="A27" s="133"/>
      <c r="B27" s="70" t="s">
        <v>62</v>
      </c>
      <c r="C27" s="44">
        <f>C26/C18</f>
        <v>7.5160698813145571E-3</v>
      </c>
      <c r="D27" s="80"/>
      <c r="E27" s="80"/>
      <c r="F27" s="80"/>
      <c r="G27" s="80"/>
      <c r="H27" s="80"/>
      <c r="I27" s="80"/>
      <c r="J27" s="80"/>
      <c r="K27" s="80"/>
      <c r="L27" s="80"/>
      <c r="M27" s="80"/>
    </row>
    <row r="28" spans="1:13" ht="18" x14ac:dyDescent="0.35">
      <c r="A28" s="133"/>
      <c r="B28" s="70" t="s">
        <v>130</v>
      </c>
      <c r="C28" s="88">
        <f>C18/C19</f>
        <v>0.99254000000000009</v>
      </c>
      <c r="D28" s="80"/>
      <c r="E28" s="80"/>
      <c r="F28" s="80"/>
      <c r="G28" s="80"/>
      <c r="H28" s="80"/>
      <c r="I28" s="80"/>
      <c r="J28" s="80"/>
      <c r="K28" s="80"/>
      <c r="L28" s="80"/>
      <c r="M28" s="80"/>
    </row>
    <row r="29" spans="1:13" ht="18" x14ac:dyDescent="0.35">
      <c r="A29" s="134"/>
      <c r="B29" s="70" t="s">
        <v>59</v>
      </c>
      <c r="C29" s="88">
        <f>C19/C18</f>
        <v>1.0075160698813146</v>
      </c>
      <c r="D29" s="80"/>
      <c r="E29" s="80"/>
      <c r="F29" s="80"/>
      <c r="G29" s="80"/>
      <c r="H29" s="80"/>
      <c r="I29" s="80"/>
      <c r="J29" s="80"/>
      <c r="K29" s="80"/>
      <c r="L29" s="80"/>
      <c r="M29" s="80"/>
    </row>
    <row r="30" spans="1:13" ht="18" x14ac:dyDescent="0.35">
      <c r="B30" s="80"/>
      <c r="C30" s="80"/>
      <c r="D30" s="80"/>
      <c r="E30" s="80"/>
      <c r="F30" s="80"/>
      <c r="G30" s="80"/>
      <c r="H30" s="80"/>
      <c r="I30" s="80"/>
      <c r="J30" s="80"/>
      <c r="K30" s="80"/>
      <c r="L30" s="80"/>
      <c r="M30" s="80"/>
    </row>
    <row r="31" spans="1:13" ht="18" x14ac:dyDescent="0.35">
      <c r="A31" s="132" t="s">
        <v>44</v>
      </c>
      <c r="B31" s="70" t="s">
        <v>131</v>
      </c>
      <c r="C31" s="44">
        <f>(C19/C18-1)/C21</f>
        <v>7.9958190226750973E-5</v>
      </c>
      <c r="D31" s="128" t="s">
        <v>134</v>
      </c>
      <c r="E31" s="129"/>
      <c r="F31" s="80"/>
      <c r="G31" s="80"/>
      <c r="H31" s="80"/>
      <c r="I31" s="80"/>
      <c r="J31" s="80"/>
      <c r="K31" s="80"/>
      <c r="L31" s="80"/>
      <c r="M31" s="80"/>
    </row>
    <row r="32" spans="1:13" ht="18" x14ac:dyDescent="0.35">
      <c r="A32" s="133"/>
      <c r="B32" s="70" t="s">
        <v>132</v>
      </c>
      <c r="C32" s="44">
        <f>(C19/C18-1)*(30/C21)</f>
        <v>2.3987457068025291E-3</v>
      </c>
      <c r="D32" s="129"/>
      <c r="E32" s="129"/>
      <c r="F32" s="80"/>
      <c r="G32" s="80"/>
      <c r="H32" s="80"/>
      <c r="I32" s="80"/>
      <c r="J32" s="80"/>
      <c r="K32" s="80"/>
      <c r="L32" s="80"/>
      <c r="M32" s="80"/>
    </row>
    <row r="33" spans="1:13" ht="18" x14ac:dyDescent="0.35">
      <c r="A33" s="134"/>
      <c r="B33" s="70" t="s">
        <v>85</v>
      </c>
      <c r="C33" s="44">
        <f>(C19/C18-1)*(365/C21)</f>
        <v>2.9184739432764104E-2</v>
      </c>
      <c r="D33" s="129"/>
      <c r="E33" s="129"/>
      <c r="F33" s="80"/>
      <c r="G33" s="80"/>
      <c r="H33" s="80"/>
      <c r="I33" s="80"/>
      <c r="J33" s="80"/>
      <c r="K33" s="80"/>
      <c r="L33" s="80"/>
      <c r="M33" s="80"/>
    </row>
    <row r="34" spans="1:13" ht="18" x14ac:dyDescent="0.35">
      <c r="B34" s="80"/>
      <c r="C34" s="80"/>
      <c r="D34" s="80"/>
      <c r="E34" s="80"/>
      <c r="F34" s="80"/>
      <c r="G34" s="80"/>
      <c r="H34" s="80"/>
      <c r="I34" s="80"/>
      <c r="J34" s="80"/>
      <c r="K34" s="80"/>
      <c r="L34" s="80"/>
      <c r="M34" s="80"/>
    </row>
    <row r="35" spans="1:13" ht="18" x14ac:dyDescent="0.35">
      <c r="A35" s="132" t="s">
        <v>45</v>
      </c>
      <c r="B35" s="70" t="s">
        <v>131</v>
      </c>
      <c r="C35" s="44">
        <f>C27*1/C21</f>
        <v>7.9958190226750607E-5</v>
      </c>
      <c r="D35" s="130" t="s">
        <v>135</v>
      </c>
      <c r="E35" s="127"/>
      <c r="F35" s="80"/>
      <c r="G35" s="80"/>
      <c r="H35" s="80"/>
      <c r="I35" s="80"/>
      <c r="J35" s="80"/>
      <c r="K35" s="80"/>
      <c r="L35" s="80"/>
      <c r="M35" s="80"/>
    </row>
    <row r="36" spans="1:13" ht="18" x14ac:dyDescent="0.35">
      <c r="A36" s="133"/>
      <c r="B36" s="70" t="s">
        <v>132</v>
      </c>
      <c r="C36" s="44">
        <f>C27*30/C21</f>
        <v>2.3987457068025183E-3</v>
      </c>
      <c r="D36" s="127"/>
      <c r="E36" s="127"/>
      <c r="F36" s="80"/>
      <c r="G36" s="80"/>
      <c r="H36" s="80"/>
      <c r="I36" s="80"/>
      <c r="J36" s="80"/>
      <c r="K36" s="80"/>
      <c r="L36" s="80"/>
      <c r="M36" s="80"/>
    </row>
    <row r="37" spans="1:13" ht="18" x14ac:dyDescent="0.35">
      <c r="A37" s="134"/>
      <c r="B37" s="70" t="s">
        <v>85</v>
      </c>
      <c r="C37" s="44">
        <f>C27*365/C21</f>
        <v>2.9184739432763972E-2</v>
      </c>
      <c r="D37" s="127"/>
      <c r="E37" s="127"/>
      <c r="F37" s="80"/>
      <c r="G37" s="80"/>
      <c r="H37" s="80"/>
      <c r="I37" s="80"/>
      <c r="J37" s="80"/>
      <c r="K37" s="80"/>
      <c r="L37" s="80"/>
      <c r="M37" s="80"/>
    </row>
    <row r="38" spans="1:13" ht="18" x14ac:dyDescent="0.35">
      <c r="B38" s="80"/>
      <c r="C38" s="80"/>
      <c r="D38" s="80"/>
      <c r="E38" s="80"/>
      <c r="F38" s="80"/>
      <c r="G38" s="80"/>
      <c r="H38" s="80"/>
      <c r="I38" s="80"/>
      <c r="J38" s="80"/>
      <c r="K38" s="80"/>
      <c r="L38" s="80"/>
      <c r="M38" s="80"/>
    </row>
    <row r="39" spans="1:13" ht="18" x14ac:dyDescent="0.35">
      <c r="A39" s="127" t="s">
        <v>133</v>
      </c>
      <c r="B39" s="70" t="s">
        <v>132</v>
      </c>
      <c r="C39" s="44">
        <f>(1+C27)^(30/C21)-1</f>
        <v>2.3926338437794126E-3</v>
      </c>
      <c r="D39" s="127" t="s">
        <v>97</v>
      </c>
      <c r="E39" s="127"/>
    </row>
    <row r="40" spans="1:13" ht="18" x14ac:dyDescent="0.35">
      <c r="A40" s="127"/>
      <c r="B40" s="70" t="s">
        <v>85</v>
      </c>
      <c r="C40" s="44">
        <f>(1+C27)^(365/C21)-1</f>
        <v>2.9502430815538272E-2</v>
      </c>
      <c r="D40" s="127"/>
      <c r="E40" s="127"/>
    </row>
  </sheetData>
  <mergeCells count="9">
    <mergeCell ref="A39:A40"/>
    <mergeCell ref="D31:E33"/>
    <mergeCell ref="D35:E37"/>
    <mergeCell ref="D39:E40"/>
    <mergeCell ref="B2:K13"/>
    <mergeCell ref="A23:A24"/>
    <mergeCell ref="A26:A29"/>
    <mergeCell ref="A31:A33"/>
    <mergeCell ref="A35:A37"/>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ublished="0" codeName="Foglio21"/>
  <dimension ref="B19:I62"/>
  <sheetViews>
    <sheetView workbookViewId="0">
      <selection activeCell="C30" sqref="C30"/>
    </sheetView>
  </sheetViews>
  <sheetFormatPr defaultRowHeight="14.4" x14ac:dyDescent="0.3"/>
  <cols>
    <col min="2" max="2" width="17.6640625" bestFit="1" customWidth="1"/>
    <col min="3" max="3" width="17.109375" bestFit="1" customWidth="1"/>
    <col min="4" max="4" width="12.5546875" customWidth="1"/>
  </cols>
  <sheetData>
    <row r="19" spans="2:4" ht="18" x14ac:dyDescent="0.35">
      <c r="B19" s="15" t="s">
        <v>0</v>
      </c>
      <c r="C19" s="16"/>
      <c r="D19" s="16"/>
    </row>
    <row r="20" spans="2:4" ht="18" x14ac:dyDescent="0.35">
      <c r="B20" s="19" t="s">
        <v>1</v>
      </c>
      <c r="C20" s="18">
        <v>10</v>
      </c>
      <c r="D20" s="20" t="s">
        <v>37</v>
      </c>
    </row>
    <row r="21" spans="2:4" ht="18" x14ac:dyDescent="0.35">
      <c r="B21" s="19" t="s">
        <v>61</v>
      </c>
      <c r="C21" s="18">
        <v>2000</v>
      </c>
      <c r="D21" s="18"/>
    </row>
    <row r="22" spans="2:4" ht="18" x14ac:dyDescent="0.35">
      <c r="B22" s="19" t="s">
        <v>104</v>
      </c>
      <c r="C22" s="18"/>
      <c r="D22" s="18"/>
    </row>
    <row r="23" spans="2:4" ht="18" x14ac:dyDescent="0.35">
      <c r="B23" s="19" t="s">
        <v>105</v>
      </c>
      <c r="C23" s="68">
        <v>0.04</v>
      </c>
      <c r="D23" s="18"/>
    </row>
    <row r="24" spans="2:4" ht="18" x14ac:dyDescent="0.35">
      <c r="B24" s="19" t="s">
        <v>106</v>
      </c>
      <c r="C24" s="40" t="s">
        <v>107</v>
      </c>
      <c r="D24" s="18"/>
    </row>
    <row r="25" spans="2:4" ht="18" x14ac:dyDescent="0.35">
      <c r="B25" s="17"/>
      <c r="C25" s="18"/>
      <c r="D25" s="18"/>
    </row>
    <row r="26" spans="2:4" ht="18" x14ac:dyDescent="0.35">
      <c r="B26" s="19" t="s">
        <v>110</v>
      </c>
      <c r="C26" s="68">
        <v>0.03</v>
      </c>
      <c r="D26" s="18"/>
    </row>
    <row r="27" spans="2:4" ht="18" x14ac:dyDescent="0.35">
      <c r="B27" s="17"/>
      <c r="C27" s="18"/>
      <c r="D27" s="18"/>
    </row>
    <row r="30" spans="2:4" ht="18" x14ac:dyDescent="0.35">
      <c r="B30" s="70" t="s">
        <v>108</v>
      </c>
      <c r="C30" s="78">
        <f>C23/4</f>
        <v>0.01</v>
      </c>
      <c r="D30" s="45"/>
    </row>
    <row r="31" spans="2:4" ht="18" x14ac:dyDescent="0.35">
      <c r="B31" s="70" t="s">
        <v>109</v>
      </c>
      <c r="C31" s="78">
        <f>(1+C30)^4-1</f>
        <v>4.0604010000000024E-2</v>
      </c>
      <c r="D31" s="45"/>
    </row>
    <row r="33" spans="2:4" ht="18" x14ac:dyDescent="0.35">
      <c r="B33" s="70" t="s">
        <v>57</v>
      </c>
      <c r="C33" s="43">
        <f>C21*((1+C26)^0.25-1)</f>
        <v>14.834143555465751</v>
      </c>
      <c r="D33" s="45"/>
    </row>
    <row r="36" spans="2:4" ht="18" x14ac:dyDescent="0.35">
      <c r="B36" s="143" t="s">
        <v>111</v>
      </c>
      <c r="C36" s="143"/>
      <c r="D36" s="143"/>
    </row>
    <row r="37" spans="2:4" ht="18" x14ac:dyDescent="0.35">
      <c r="B37" s="70" t="s">
        <v>83</v>
      </c>
      <c r="C37" s="45">
        <f>-C21*(1+C26)^(2/12)</f>
        <v>-2009.8772440623939</v>
      </c>
      <c r="D37" s="45"/>
    </row>
    <row r="62" spans="9:9" x14ac:dyDescent="0.3">
      <c r="I62" s="69"/>
    </row>
  </sheetData>
  <mergeCells count="1">
    <mergeCell ref="B36:D36"/>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Foglio22"/>
  <dimension ref="B22:M77"/>
  <sheetViews>
    <sheetView showGridLines="0" zoomScaleNormal="120" workbookViewId="0">
      <selection activeCell="J49" sqref="J49"/>
    </sheetView>
  </sheetViews>
  <sheetFormatPr defaultColWidth="8.88671875" defaultRowHeight="12" x14ac:dyDescent="0.25"/>
  <cols>
    <col min="1" max="1" width="2.44140625" style="11" customWidth="1"/>
    <col min="2" max="2" width="15.33203125" style="11" bestFit="1" customWidth="1"/>
    <col min="3" max="3" width="18.88671875" style="11" bestFit="1" customWidth="1"/>
    <col min="4" max="4" width="40" style="11" bestFit="1" customWidth="1"/>
    <col min="5" max="5" width="24.5546875" style="11" bestFit="1" customWidth="1"/>
    <col min="6" max="6" width="7.6640625" style="14" bestFit="1" customWidth="1"/>
    <col min="7" max="7" width="12.109375" style="12" bestFit="1" customWidth="1"/>
    <col min="8" max="8" width="15.5546875" style="14" customWidth="1"/>
    <col min="9" max="9" width="13.88671875" style="11" customWidth="1"/>
    <col min="10" max="10" width="40" style="13" bestFit="1" customWidth="1"/>
    <col min="11" max="11" width="24.5546875" style="11" bestFit="1" customWidth="1"/>
    <col min="12" max="13" width="12.109375" style="13" bestFit="1" customWidth="1"/>
    <col min="14" max="14" width="8.88671875" style="11"/>
    <col min="15" max="15" width="4.109375" style="11" bestFit="1" customWidth="1"/>
    <col min="16" max="16" width="7.6640625" style="11" bestFit="1" customWidth="1"/>
    <col min="17" max="18" width="12.109375" style="11" bestFit="1" customWidth="1"/>
    <col min="19" max="16384" width="8.88671875" style="11"/>
  </cols>
  <sheetData>
    <row r="22" spans="2:11" ht="18" x14ac:dyDescent="0.35">
      <c r="B22" s="15" t="s">
        <v>0</v>
      </c>
      <c r="C22" s="16"/>
      <c r="D22" s="16"/>
    </row>
    <row r="23" spans="2:11" ht="18" x14ac:dyDescent="0.35">
      <c r="B23" s="19" t="s">
        <v>23</v>
      </c>
      <c r="C23" s="18">
        <v>0</v>
      </c>
      <c r="D23" s="18"/>
    </row>
    <row r="24" spans="2:11" ht="18" x14ac:dyDescent="0.35">
      <c r="B24" s="19" t="s">
        <v>60</v>
      </c>
      <c r="C24" s="18">
        <v>5</v>
      </c>
      <c r="D24" s="20" t="s">
        <v>37</v>
      </c>
    </row>
    <row r="25" spans="2:11" ht="18" x14ac:dyDescent="0.35">
      <c r="B25" s="19" t="s">
        <v>57</v>
      </c>
      <c r="C25" s="18">
        <v>2.375</v>
      </c>
      <c r="D25" s="18"/>
    </row>
    <row r="26" spans="2:11" ht="18" x14ac:dyDescent="0.35">
      <c r="B26" s="19" t="s">
        <v>61</v>
      </c>
      <c r="C26" s="18">
        <v>100</v>
      </c>
      <c r="D26" s="18"/>
    </row>
    <row r="27" spans="2:11" ht="18" x14ac:dyDescent="0.35">
      <c r="B27" s="19" t="s">
        <v>62</v>
      </c>
      <c r="C27" s="28">
        <v>4.7500000000000001E-2</v>
      </c>
      <c r="D27" s="18"/>
    </row>
    <row r="30" spans="2:11" ht="21" x14ac:dyDescent="0.4">
      <c r="B30" s="29"/>
      <c r="C30" s="29"/>
      <c r="D30" s="29"/>
      <c r="E30" s="29"/>
      <c r="F30" s="30"/>
      <c r="G30" s="31"/>
      <c r="H30" s="30"/>
    </row>
    <row r="31" spans="2:11" ht="21" x14ac:dyDescent="0.4">
      <c r="B31" s="144" t="s">
        <v>11</v>
      </c>
      <c r="C31" s="144"/>
      <c r="D31" s="144"/>
      <c r="E31" s="144"/>
      <c r="F31" s="30"/>
      <c r="G31" s="31"/>
      <c r="H31" s="144" t="s">
        <v>58</v>
      </c>
      <c r="I31" s="144"/>
      <c r="J31" s="144"/>
      <c r="K31" s="144"/>
    </row>
    <row r="32" spans="2:11" ht="21" x14ac:dyDescent="0.4">
      <c r="B32" s="33" t="s">
        <v>63</v>
      </c>
      <c r="C32" s="34" t="s">
        <v>64</v>
      </c>
      <c r="D32" s="35" t="s">
        <v>65</v>
      </c>
      <c r="E32" s="36" t="s">
        <v>66</v>
      </c>
      <c r="F32" s="30"/>
      <c r="G32" s="31"/>
      <c r="H32" s="33" t="s">
        <v>63</v>
      </c>
      <c r="I32" s="34" t="s">
        <v>64</v>
      </c>
      <c r="J32" s="35" t="s">
        <v>65</v>
      </c>
      <c r="K32" s="36" t="s">
        <v>66</v>
      </c>
    </row>
    <row r="33" spans="2:11" ht="21" x14ac:dyDescent="0.4">
      <c r="B33" s="32">
        <v>0</v>
      </c>
      <c r="C33" s="64"/>
      <c r="D33" s="58"/>
      <c r="E33" s="64">
        <f>SUM(E34:E43)</f>
        <v>100.24305370307353</v>
      </c>
      <c r="F33" s="30"/>
      <c r="G33" s="31"/>
      <c r="H33" s="32">
        <v>0</v>
      </c>
      <c r="I33" s="64"/>
      <c r="J33" s="58"/>
      <c r="K33" s="64">
        <f>SUM(K34:K43)</f>
        <v>101.89112926786363</v>
      </c>
    </row>
    <row r="34" spans="2:11" ht="21" x14ac:dyDescent="0.4">
      <c r="B34" s="32">
        <v>0.5</v>
      </c>
      <c r="C34" s="65">
        <f>$C$25</f>
        <v>2.375</v>
      </c>
      <c r="D34" s="59">
        <f>1/(1+$C$27)^B34</f>
        <v>0.97706393749206299</v>
      </c>
      <c r="E34" s="60">
        <f>D34*C34</f>
        <v>2.3205268515436495</v>
      </c>
      <c r="F34" s="30"/>
      <c r="G34" s="31"/>
      <c r="H34" s="32">
        <v>0.5</v>
      </c>
      <c r="I34" s="65">
        <f>$C$25</f>
        <v>2.375</v>
      </c>
      <c r="J34" s="59">
        <f>1/(1+$C$27*H34)</f>
        <v>0.97680097680097688</v>
      </c>
      <c r="K34" s="60">
        <f>J34*I34</f>
        <v>2.3199023199023201</v>
      </c>
    </row>
    <row r="35" spans="2:11" ht="21" x14ac:dyDescent="0.4">
      <c r="B35" s="32">
        <v>1</v>
      </c>
      <c r="C35" s="65">
        <f t="shared" ref="C35:C42" si="0">$C$25</f>
        <v>2.375</v>
      </c>
      <c r="D35" s="59">
        <f t="shared" ref="D35:D43" si="1">1/(1+$C$27)^B35</f>
        <v>0.95465393794749398</v>
      </c>
      <c r="E35" s="60">
        <f t="shared" ref="E35:E43" si="2">D35*C35</f>
        <v>2.2673031026252981</v>
      </c>
      <c r="F35" s="30"/>
      <c r="G35" s="31"/>
      <c r="H35" s="32">
        <v>1</v>
      </c>
      <c r="I35" s="65">
        <f t="shared" ref="I35:I42" si="3">$C$25</f>
        <v>2.375</v>
      </c>
      <c r="J35" s="59">
        <f t="shared" ref="J35:J43" si="4">1/(1+$C$27*H35)</f>
        <v>0.95465393794749398</v>
      </c>
      <c r="K35" s="60">
        <f t="shared" ref="K35:K43" si="5">J35*I35</f>
        <v>2.2673031026252981</v>
      </c>
    </row>
    <row r="36" spans="2:11" ht="21" x14ac:dyDescent="0.4">
      <c r="B36" s="32">
        <v>1.5</v>
      </c>
      <c r="C36" s="65">
        <f t="shared" si="0"/>
        <v>2.375</v>
      </c>
      <c r="D36" s="59">
        <f t="shared" si="1"/>
        <v>0.93275793555328201</v>
      </c>
      <c r="E36" s="60">
        <f t="shared" si="2"/>
        <v>2.2153000969390448</v>
      </c>
      <c r="F36" s="30"/>
      <c r="G36" s="31"/>
      <c r="H36" s="32">
        <v>1.5</v>
      </c>
      <c r="I36" s="65">
        <f t="shared" si="3"/>
        <v>2.375</v>
      </c>
      <c r="J36" s="59">
        <f t="shared" si="4"/>
        <v>0.93348891481913654</v>
      </c>
      <c r="K36" s="60">
        <f t="shared" si="5"/>
        <v>2.2170361726954493</v>
      </c>
    </row>
    <row r="37" spans="2:11" ht="21" x14ac:dyDescent="0.4">
      <c r="B37" s="32">
        <v>2</v>
      </c>
      <c r="C37" s="65">
        <f t="shared" si="0"/>
        <v>2.375</v>
      </c>
      <c r="D37" s="59">
        <f t="shared" si="1"/>
        <v>0.91136414123865761</v>
      </c>
      <c r="E37" s="60">
        <f t="shared" si="2"/>
        <v>2.1644898354418118</v>
      </c>
      <c r="F37" s="30"/>
      <c r="G37" s="31"/>
      <c r="H37" s="32">
        <v>2</v>
      </c>
      <c r="I37" s="65">
        <f t="shared" si="3"/>
        <v>2.375</v>
      </c>
      <c r="J37" s="59">
        <f t="shared" si="4"/>
        <v>0.91324200913242015</v>
      </c>
      <c r="K37" s="60">
        <f t="shared" si="5"/>
        <v>2.1689497716894977</v>
      </c>
    </row>
    <row r="38" spans="2:11" ht="21" x14ac:dyDescent="0.4">
      <c r="B38" s="32">
        <v>2.5</v>
      </c>
      <c r="C38" s="65">
        <f t="shared" si="0"/>
        <v>2.375</v>
      </c>
      <c r="D38" s="59">
        <f t="shared" si="1"/>
        <v>0.89046103632771545</v>
      </c>
      <c r="E38" s="60">
        <f t="shared" si="2"/>
        <v>2.1148449612783242</v>
      </c>
      <c r="F38" s="30"/>
      <c r="G38" s="31"/>
      <c r="H38" s="32">
        <v>2.5</v>
      </c>
      <c r="I38" s="65">
        <f t="shared" si="3"/>
        <v>2.375</v>
      </c>
      <c r="J38" s="59">
        <f t="shared" si="4"/>
        <v>0.89385474860335201</v>
      </c>
      <c r="K38" s="60">
        <f t="shared" si="5"/>
        <v>2.1229050279329611</v>
      </c>
    </row>
    <row r="39" spans="2:11" ht="21" x14ac:dyDescent="0.4">
      <c r="B39" s="32">
        <v>3</v>
      </c>
      <c r="C39" s="65">
        <f t="shared" si="0"/>
        <v>2.375</v>
      </c>
      <c r="D39" s="59">
        <f t="shared" si="1"/>
        <v>0.87003736633762052</v>
      </c>
      <c r="E39" s="60">
        <f t="shared" si="2"/>
        <v>2.0663387450518487</v>
      </c>
      <c r="F39" s="30"/>
      <c r="G39" s="31"/>
      <c r="H39" s="32">
        <v>3</v>
      </c>
      <c r="I39" s="65">
        <f t="shared" si="3"/>
        <v>2.375</v>
      </c>
      <c r="J39" s="59">
        <f t="shared" si="4"/>
        <v>0.87527352297592997</v>
      </c>
      <c r="K39" s="60">
        <f t="shared" si="5"/>
        <v>2.0787746170678338</v>
      </c>
    </row>
    <row r="40" spans="2:11" ht="21" x14ac:dyDescent="0.4">
      <c r="B40" s="32">
        <v>3.5</v>
      </c>
      <c r="C40" s="65">
        <f t="shared" si="0"/>
        <v>2.375</v>
      </c>
      <c r="D40" s="59">
        <f t="shared" si="1"/>
        <v>0.85008213491905993</v>
      </c>
      <c r="E40" s="60">
        <f t="shared" si="2"/>
        <v>2.0189450704327672</v>
      </c>
      <c r="F40" s="30"/>
      <c r="G40" s="31"/>
      <c r="H40" s="32">
        <v>3.5</v>
      </c>
      <c r="I40" s="65">
        <f t="shared" si="3"/>
        <v>2.375</v>
      </c>
      <c r="J40" s="59">
        <f t="shared" si="4"/>
        <v>0.857449088960343</v>
      </c>
      <c r="K40" s="60">
        <f t="shared" si="5"/>
        <v>2.0364415862808145</v>
      </c>
    </row>
    <row r="41" spans="2:11" ht="21" x14ac:dyDescent="0.4">
      <c r="B41" s="32">
        <v>4</v>
      </c>
      <c r="C41" s="65">
        <f t="shared" si="0"/>
        <v>2.375</v>
      </c>
      <c r="D41" s="59">
        <f t="shared" si="1"/>
        <v>0.83058459793567585</v>
      </c>
      <c r="E41" s="60">
        <f t="shared" si="2"/>
        <v>1.9726384200972302</v>
      </c>
      <c r="F41" s="30"/>
      <c r="G41" s="31"/>
      <c r="H41" s="32">
        <v>4</v>
      </c>
      <c r="I41" s="65">
        <f t="shared" si="3"/>
        <v>2.375</v>
      </c>
      <c r="J41" s="59">
        <f t="shared" si="4"/>
        <v>0.84033613445378152</v>
      </c>
      <c r="K41" s="60">
        <f t="shared" si="5"/>
        <v>1.9957983193277311</v>
      </c>
    </row>
    <row r="42" spans="2:11" ht="21" x14ac:dyDescent="0.4">
      <c r="B42" s="32">
        <v>4.5</v>
      </c>
      <c r="C42" s="65">
        <f t="shared" si="0"/>
        <v>2.375</v>
      </c>
      <c r="D42" s="59">
        <f t="shared" si="1"/>
        <v>0.81153425767929344</v>
      </c>
      <c r="E42" s="60">
        <f t="shared" si="2"/>
        <v>1.927393861988322</v>
      </c>
      <c r="F42" s="30"/>
      <c r="G42" s="31"/>
      <c r="H42" s="32">
        <v>4.5</v>
      </c>
      <c r="I42" s="65">
        <f t="shared" si="3"/>
        <v>2.375</v>
      </c>
      <c r="J42" s="59">
        <f t="shared" si="4"/>
        <v>0.82389289392378984</v>
      </c>
      <c r="K42" s="60">
        <f t="shared" si="5"/>
        <v>1.9567456230690008</v>
      </c>
    </row>
    <row r="43" spans="2:11" ht="21" x14ac:dyDescent="0.4">
      <c r="B43" s="32">
        <v>5</v>
      </c>
      <c r="C43" s="65">
        <f>$C$25+C26</f>
        <v>102.375</v>
      </c>
      <c r="D43" s="59">
        <f t="shared" si="1"/>
        <v>0.7929208572178289</v>
      </c>
      <c r="E43" s="60">
        <f t="shared" si="2"/>
        <v>81.175272757675231</v>
      </c>
      <c r="F43" s="30"/>
      <c r="G43" s="31"/>
      <c r="H43" s="32">
        <v>5</v>
      </c>
      <c r="I43" s="65">
        <f>$C$25+C26</f>
        <v>102.375</v>
      </c>
      <c r="J43" s="59">
        <f t="shared" si="4"/>
        <v>0.80808080808080807</v>
      </c>
      <c r="K43" s="60">
        <f t="shared" si="5"/>
        <v>82.72727272727272</v>
      </c>
    </row>
    <row r="44" spans="2:11" ht="21" x14ac:dyDescent="0.4">
      <c r="B44" s="29"/>
      <c r="C44" s="29"/>
      <c r="D44" s="29"/>
      <c r="E44" s="29"/>
      <c r="F44" s="30"/>
      <c r="G44" s="31"/>
      <c r="H44" s="30"/>
    </row>
    <row r="45" spans="2:11" ht="21" x14ac:dyDescent="0.4">
      <c r="B45" s="29"/>
      <c r="C45" s="29"/>
      <c r="D45" s="29"/>
      <c r="E45" s="29"/>
      <c r="F45" s="30"/>
      <c r="G45" s="31"/>
      <c r="H45" s="30"/>
    </row>
    <row r="47" spans="2:11" ht="21" x14ac:dyDescent="0.4">
      <c r="B47" s="144" t="s">
        <v>11</v>
      </c>
      <c r="C47" s="144"/>
      <c r="D47" s="144"/>
      <c r="E47" s="144"/>
      <c r="H47" s="144" t="s">
        <v>58</v>
      </c>
      <c r="I47" s="144"/>
      <c r="J47" s="144"/>
      <c r="K47" s="144"/>
    </row>
    <row r="48" spans="2:11" ht="21" x14ac:dyDescent="0.4">
      <c r="B48" s="33" t="s">
        <v>63</v>
      </c>
      <c r="C48" s="34" t="s">
        <v>64</v>
      </c>
      <c r="D48" s="35" t="s">
        <v>90</v>
      </c>
      <c r="E48" s="36" t="s">
        <v>91</v>
      </c>
      <c r="H48" s="33" t="s">
        <v>63</v>
      </c>
      <c r="I48" s="34" t="s">
        <v>64</v>
      </c>
      <c r="J48" s="35" t="s">
        <v>90</v>
      </c>
      <c r="K48" s="36" t="s">
        <v>91</v>
      </c>
    </row>
    <row r="49" spans="2:11" ht="21" x14ac:dyDescent="0.4">
      <c r="B49" s="32">
        <v>0</v>
      </c>
      <c r="C49" s="66">
        <f>-E33</f>
        <v>-100.24305370307353</v>
      </c>
      <c r="D49" s="61">
        <f t="shared" ref="D49:D59" si="6">(1+$C$27)^($B$53-B49)</f>
        <v>1.0972562500000003</v>
      </c>
      <c r="E49" s="62">
        <f>C49*D49</f>
        <v>-109.9923171947831</v>
      </c>
      <c r="H49" s="32">
        <v>0</v>
      </c>
      <c r="I49" s="66">
        <f>-K33</f>
        <v>-101.89112926786363</v>
      </c>
      <c r="J49" s="61">
        <f>(1+$C$27*($H$53-H49))</f>
        <v>1.095</v>
      </c>
      <c r="K49" s="62">
        <f>I49*J49</f>
        <v>-111.57078654831068</v>
      </c>
    </row>
    <row r="50" spans="2:11" ht="21" x14ac:dyDescent="0.4">
      <c r="B50" s="32">
        <v>0.5</v>
      </c>
      <c r="C50" s="65">
        <f>$C$25</f>
        <v>2.375</v>
      </c>
      <c r="D50" s="63">
        <f t="shared" si="6"/>
        <v>1.0720895120627756</v>
      </c>
      <c r="E50" s="62">
        <f t="shared" ref="E50:E59" si="7">C50*D50</f>
        <v>2.546212591149092</v>
      </c>
      <c r="H50" s="32">
        <v>0.5</v>
      </c>
      <c r="I50" s="65">
        <f>$C$25</f>
        <v>2.375</v>
      </c>
      <c r="J50" s="61">
        <f>(1+$C$27*($H$53-H50))</f>
        <v>1.07125</v>
      </c>
      <c r="K50" s="62">
        <f t="shared" ref="K50:K59" si="8">I50*J50</f>
        <v>2.5442187500000002</v>
      </c>
    </row>
    <row r="51" spans="2:11" ht="21" x14ac:dyDescent="0.4">
      <c r="B51" s="32">
        <v>1</v>
      </c>
      <c r="C51" s="65">
        <f t="shared" ref="C51:C58" si="9">$C$25</f>
        <v>2.375</v>
      </c>
      <c r="D51" s="63">
        <f t="shared" si="6"/>
        <v>1.0475000000000001</v>
      </c>
      <c r="E51" s="62">
        <f t="shared" si="7"/>
        <v>2.4878125000000004</v>
      </c>
      <c r="H51" s="32">
        <v>1</v>
      </c>
      <c r="I51" s="65">
        <f t="shared" ref="I51:I58" si="10">$C$25</f>
        <v>2.375</v>
      </c>
      <c r="J51" s="61">
        <f>(1+$C$27*($H$53-H51))</f>
        <v>1.0475000000000001</v>
      </c>
      <c r="K51" s="62">
        <f t="shared" si="8"/>
        <v>2.4878125000000004</v>
      </c>
    </row>
    <row r="52" spans="2:11" ht="21" x14ac:dyDescent="0.4">
      <c r="B52" s="32">
        <v>1.5</v>
      </c>
      <c r="C52" s="65">
        <f t="shared" si="9"/>
        <v>2.375</v>
      </c>
      <c r="D52" s="63">
        <f t="shared" si="6"/>
        <v>1.0234744745229361</v>
      </c>
      <c r="E52" s="62">
        <f t="shared" si="7"/>
        <v>2.4307518769919731</v>
      </c>
      <c r="H52" s="32">
        <v>1.5</v>
      </c>
      <c r="I52" s="65">
        <f t="shared" si="10"/>
        <v>2.375</v>
      </c>
      <c r="J52" s="61">
        <f>(1+$C$27*($H$53-H52))</f>
        <v>1.0237499999999999</v>
      </c>
      <c r="K52" s="62">
        <f t="shared" si="8"/>
        <v>2.4314062499999998</v>
      </c>
    </row>
    <row r="53" spans="2:11" ht="21" x14ac:dyDescent="0.4">
      <c r="B53" s="32">
        <v>2</v>
      </c>
      <c r="C53" s="65">
        <f t="shared" si="9"/>
        <v>2.375</v>
      </c>
      <c r="D53" s="63">
        <f t="shared" si="6"/>
        <v>1</v>
      </c>
      <c r="E53" s="62">
        <f t="shared" si="7"/>
        <v>2.375</v>
      </c>
      <c r="H53" s="32">
        <v>2</v>
      </c>
      <c r="I53" s="65">
        <f t="shared" si="10"/>
        <v>2.375</v>
      </c>
      <c r="J53" s="61">
        <f>(1+$C$27*($H$53-H53))</f>
        <v>1</v>
      </c>
      <c r="K53" s="62">
        <f t="shared" si="8"/>
        <v>2.375</v>
      </c>
    </row>
    <row r="54" spans="2:11" ht="21" x14ac:dyDescent="0.4">
      <c r="B54" s="32">
        <v>2.5</v>
      </c>
      <c r="C54" s="65">
        <f t="shared" si="9"/>
        <v>2.375</v>
      </c>
      <c r="D54" s="63">
        <f t="shared" si="6"/>
        <v>0.97706393749206299</v>
      </c>
      <c r="E54" s="62">
        <f t="shared" si="7"/>
        <v>2.3205268515436495</v>
      </c>
      <c r="H54" s="32">
        <v>2.5</v>
      </c>
      <c r="I54" s="65">
        <f t="shared" si="10"/>
        <v>2.375</v>
      </c>
      <c r="J54" s="61">
        <f t="shared" ref="J54:J59" si="11">1/(1+$C$27*(H54-$H$53))</f>
        <v>0.97680097680097688</v>
      </c>
      <c r="K54" s="62">
        <f t="shared" si="8"/>
        <v>2.3199023199023201</v>
      </c>
    </row>
    <row r="55" spans="2:11" ht="21" x14ac:dyDescent="0.4">
      <c r="B55" s="32">
        <v>3</v>
      </c>
      <c r="C55" s="65">
        <f t="shared" si="9"/>
        <v>2.375</v>
      </c>
      <c r="D55" s="63">
        <f t="shared" si="6"/>
        <v>0.95465393794749398</v>
      </c>
      <c r="E55" s="62">
        <f t="shared" si="7"/>
        <v>2.2673031026252981</v>
      </c>
      <c r="H55" s="32">
        <v>3</v>
      </c>
      <c r="I55" s="65">
        <f t="shared" si="10"/>
        <v>2.375</v>
      </c>
      <c r="J55" s="61">
        <f t="shared" si="11"/>
        <v>0.95465393794749398</v>
      </c>
      <c r="K55" s="62">
        <f t="shared" si="8"/>
        <v>2.2673031026252981</v>
      </c>
    </row>
    <row r="56" spans="2:11" ht="21" x14ac:dyDescent="0.4">
      <c r="B56" s="32">
        <v>3.5</v>
      </c>
      <c r="C56" s="65">
        <f t="shared" si="9"/>
        <v>2.375</v>
      </c>
      <c r="D56" s="63">
        <f t="shared" si="6"/>
        <v>0.93275793555328201</v>
      </c>
      <c r="E56" s="62">
        <f t="shared" si="7"/>
        <v>2.2153000969390448</v>
      </c>
      <c r="H56" s="32">
        <v>3.5</v>
      </c>
      <c r="I56" s="65">
        <f t="shared" si="10"/>
        <v>2.375</v>
      </c>
      <c r="J56" s="61">
        <f t="shared" si="11"/>
        <v>0.93348891481913654</v>
      </c>
      <c r="K56" s="62">
        <f t="shared" si="8"/>
        <v>2.2170361726954493</v>
      </c>
    </row>
    <row r="57" spans="2:11" ht="21" x14ac:dyDescent="0.4">
      <c r="B57" s="32">
        <v>4</v>
      </c>
      <c r="C57" s="65">
        <f t="shared" si="9"/>
        <v>2.375</v>
      </c>
      <c r="D57" s="63">
        <f t="shared" si="6"/>
        <v>0.91136414123865761</v>
      </c>
      <c r="E57" s="62">
        <f t="shared" si="7"/>
        <v>2.1644898354418118</v>
      </c>
      <c r="H57" s="32">
        <v>4</v>
      </c>
      <c r="I57" s="65">
        <f t="shared" si="10"/>
        <v>2.375</v>
      </c>
      <c r="J57" s="61">
        <f t="shared" si="11"/>
        <v>0.91324200913242015</v>
      </c>
      <c r="K57" s="62">
        <f t="shared" si="8"/>
        <v>2.1689497716894977</v>
      </c>
    </row>
    <row r="58" spans="2:11" ht="21" x14ac:dyDescent="0.4">
      <c r="B58" s="32">
        <v>4.5</v>
      </c>
      <c r="C58" s="65">
        <f t="shared" si="9"/>
        <v>2.375</v>
      </c>
      <c r="D58" s="63">
        <f t="shared" si="6"/>
        <v>0.89046103632771545</v>
      </c>
      <c r="E58" s="62">
        <f t="shared" si="7"/>
        <v>2.1148449612783242</v>
      </c>
      <c r="H58" s="32">
        <v>4.5</v>
      </c>
      <c r="I58" s="65">
        <f t="shared" si="10"/>
        <v>2.375</v>
      </c>
      <c r="J58" s="61">
        <f t="shared" si="11"/>
        <v>0.89385474860335201</v>
      </c>
      <c r="K58" s="62">
        <f t="shared" si="8"/>
        <v>2.1229050279329611</v>
      </c>
    </row>
    <row r="59" spans="2:11" ht="21" x14ac:dyDescent="0.4">
      <c r="B59" s="32">
        <v>5</v>
      </c>
      <c r="C59" s="65">
        <f>$C$25+$C$26</f>
        <v>102.375</v>
      </c>
      <c r="D59" s="63">
        <f t="shared" si="6"/>
        <v>0.87003736633762052</v>
      </c>
      <c r="E59" s="62">
        <f t="shared" si="7"/>
        <v>89.070075378813897</v>
      </c>
      <c r="H59" s="32">
        <v>5</v>
      </c>
      <c r="I59" s="65">
        <f>$C$25+$C$26</f>
        <v>102.375</v>
      </c>
      <c r="J59" s="61">
        <f t="shared" si="11"/>
        <v>0.87527352297592997</v>
      </c>
      <c r="K59" s="62">
        <f t="shared" si="8"/>
        <v>89.606126914660834</v>
      </c>
    </row>
    <row r="60" spans="2:11" ht="21" x14ac:dyDescent="0.4">
      <c r="B60" s="32"/>
      <c r="C60" s="67"/>
      <c r="D60" s="63" t="s">
        <v>92</v>
      </c>
      <c r="E60" s="62">
        <f>SUM(E49:E59)</f>
        <v>0</v>
      </c>
      <c r="H60" s="32"/>
      <c r="I60" s="67"/>
      <c r="J60" s="63" t="s">
        <v>92</v>
      </c>
      <c r="K60" s="62">
        <f>SUM(K49:K59)</f>
        <v>-1.0301257388043297</v>
      </c>
    </row>
    <row r="61" spans="2:11" x14ac:dyDescent="0.25">
      <c r="H61" s="11"/>
      <c r="J61" s="11"/>
    </row>
    <row r="62" spans="2:11" x14ac:dyDescent="0.25">
      <c r="H62" s="11"/>
      <c r="J62" s="11"/>
    </row>
    <row r="63" spans="2:11" x14ac:dyDescent="0.25">
      <c r="H63" s="11"/>
      <c r="J63" s="11"/>
    </row>
    <row r="64" spans="2:11" ht="21" x14ac:dyDescent="0.4">
      <c r="B64" s="144" t="s">
        <v>11</v>
      </c>
      <c r="C64" s="144"/>
      <c r="D64" s="144"/>
      <c r="E64" s="144"/>
      <c r="H64" s="144" t="s">
        <v>58</v>
      </c>
      <c r="I64" s="144"/>
      <c r="J64" s="144"/>
      <c r="K64" s="144"/>
    </row>
    <row r="65" spans="2:11" ht="21" x14ac:dyDescent="0.4">
      <c r="B65" s="33" t="s">
        <v>63</v>
      </c>
      <c r="C65" s="34" t="s">
        <v>64</v>
      </c>
      <c r="D65" s="35" t="s">
        <v>93</v>
      </c>
      <c r="E65" s="36" t="s">
        <v>94</v>
      </c>
      <c r="H65" s="33" t="s">
        <v>63</v>
      </c>
      <c r="I65" s="34" t="s">
        <v>64</v>
      </c>
      <c r="J65" s="35" t="s">
        <v>93</v>
      </c>
      <c r="K65" s="36" t="s">
        <v>94</v>
      </c>
    </row>
    <row r="66" spans="2:11" ht="21" x14ac:dyDescent="0.4">
      <c r="B66" s="32">
        <v>0</v>
      </c>
      <c r="C66" s="66">
        <f>-$E$33</f>
        <v>-100.24305370307353</v>
      </c>
      <c r="D66" s="61">
        <f t="shared" ref="D66:D76" si="12">(1+$C$27)^($B$76-B66)</f>
        <v>1.2611599138768561</v>
      </c>
      <c r="E66" s="62">
        <f>C66*D66</f>
        <v>-126.42252097492127</v>
      </c>
      <c r="H66" s="32">
        <v>0</v>
      </c>
      <c r="I66" s="66">
        <f>-$K$33</f>
        <v>-101.89112926786363</v>
      </c>
      <c r="J66" s="61">
        <f t="shared" ref="J66:J76" si="13">(1+$C$27*($B$76-H66))</f>
        <v>1.2375</v>
      </c>
      <c r="K66" s="62">
        <f>I66*J66</f>
        <v>-126.09027246898125</v>
      </c>
    </row>
    <row r="67" spans="2:11" ht="21" x14ac:dyDescent="0.4">
      <c r="B67" s="32">
        <v>0.5</v>
      </c>
      <c r="C67" s="66">
        <f>$C$25</f>
        <v>2.375</v>
      </c>
      <c r="D67" s="61">
        <f t="shared" si="12"/>
        <v>1.2322338712596721</v>
      </c>
      <c r="E67" s="62">
        <f t="shared" ref="E67:E76" si="14">C67*D67</f>
        <v>2.9265554442417212</v>
      </c>
      <c r="H67" s="32">
        <v>0.5</v>
      </c>
      <c r="I67" s="66">
        <f>$C$25</f>
        <v>2.375</v>
      </c>
      <c r="J67" s="61">
        <f t="shared" si="13"/>
        <v>1.2137500000000001</v>
      </c>
      <c r="K67" s="62">
        <f t="shared" ref="K67:K76" si="15">I67*J67</f>
        <v>2.8826562500000001</v>
      </c>
    </row>
    <row r="68" spans="2:11" ht="21" x14ac:dyDescent="0.4">
      <c r="B68" s="32">
        <v>1</v>
      </c>
      <c r="C68" s="66">
        <f t="shared" ref="C68:C75" si="16">$C$25</f>
        <v>2.375</v>
      </c>
      <c r="D68" s="61">
        <f t="shared" si="12"/>
        <v>1.203971278164063</v>
      </c>
      <c r="E68" s="62">
        <f t="shared" si="14"/>
        <v>2.8594317856396496</v>
      </c>
      <c r="H68" s="32">
        <v>1</v>
      </c>
      <c r="I68" s="66">
        <f t="shared" ref="I68:I75" si="17">$C$25</f>
        <v>2.375</v>
      </c>
      <c r="J68" s="61">
        <f t="shared" si="13"/>
        <v>1.19</v>
      </c>
      <c r="K68" s="62">
        <f t="shared" si="15"/>
        <v>2.8262499999999999</v>
      </c>
    </row>
    <row r="69" spans="2:11" ht="21" x14ac:dyDescent="0.4">
      <c r="B69" s="32">
        <v>1.5</v>
      </c>
      <c r="C69" s="66">
        <f t="shared" si="16"/>
        <v>2.375</v>
      </c>
      <c r="D69" s="61">
        <f t="shared" si="12"/>
        <v>1.1763569176703312</v>
      </c>
      <c r="E69" s="62">
        <f t="shared" si="14"/>
        <v>2.7938476794670368</v>
      </c>
      <c r="H69" s="32">
        <v>1.5</v>
      </c>
      <c r="I69" s="66">
        <f t="shared" si="17"/>
        <v>2.375</v>
      </c>
      <c r="J69" s="61">
        <f t="shared" si="13"/>
        <v>1.16625</v>
      </c>
      <c r="K69" s="62">
        <f t="shared" si="15"/>
        <v>2.7698437500000002</v>
      </c>
    </row>
    <row r="70" spans="2:11" ht="21" x14ac:dyDescent="0.4">
      <c r="B70" s="32">
        <v>2</v>
      </c>
      <c r="C70" s="66">
        <f t="shared" si="16"/>
        <v>2.375</v>
      </c>
      <c r="D70" s="61">
        <f t="shared" si="12"/>
        <v>1.1493759218750004</v>
      </c>
      <c r="E70" s="62">
        <f t="shared" si="14"/>
        <v>2.7297678144531261</v>
      </c>
      <c r="H70" s="32">
        <v>2</v>
      </c>
      <c r="I70" s="66">
        <f t="shared" si="17"/>
        <v>2.375</v>
      </c>
      <c r="J70" s="61">
        <f t="shared" si="13"/>
        <v>1.1425000000000001</v>
      </c>
      <c r="K70" s="62">
        <f t="shared" si="15"/>
        <v>2.7134375000000004</v>
      </c>
    </row>
    <row r="71" spans="2:11" ht="21" x14ac:dyDescent="0.4">
      <c r="B71" s="32">
        <v>2.5</v>
      </c>
      <c r="C71" s="66">
        <f t="shared" si="16"/>
        <v>2.375</v>
      </c>
      <c r="D71" s="61">
        <f t="shared" si="12"/>
        <v>1.1230137638857576</v>
      </c>
      <c r="E71" s="62">
        <f t="shared" si="14"/>
        <v>2.6671576892286741</v>
      </c>
      <c r="H71" s="32">
        <v>2.5</v>
      </c>
      <c r="I71" s="66">
        <f t="shared" si="17"/>
        <v>2.375</v>
      </c>
      <c r="J71" s="61">
        <f t="shared" si="13"/>
        <v>1.1187499999999999</v>
      </c>
      <c r="K71" s="62">
        <f t="shared" si="15"/>
        <v>2.6570312499999997</v>
      </c>
    </row>
    <row r="72" spans="2:11" ht="21" x14ac:dyDescent="0.4">
      <c r="B72" s="32">
        <v>3</v>
      </c>
      <c r="C72" s="66">
        <f t="shared" si="16"/>
        <v>2.375</v>
      </c>
      <c r="D72" s="61">
        <f t="shared" si="12"/>
        <v>1.0972562500000003</v>
      </c>
      <c r="E72" s="62">
        <f t="shared" si="14"/>
        <v>2.6059835937500004</v>
      </c>
      <c r="H72" s="32">
        <v>3</v>
      </c>
      <c r="I72" s="66">
        <f t="shared" si="17"/>
        <v>2.375</v>
      </c>
      <c r="J72" s="61">
        <f t="shared" si="13"/>
        <v>1.095</v>
      </c>
      <c r="K72" s="62">
        <f t="shared" si="15"/>
        <v>2.600625</v>
      </c>
    </row>
    <row r="73" spans="2:11" ht="21" x14ac:dyDescent="0.4">
      <c r="B73" s="32">
        <v>3.5</v>
      </c>
      <c r="C73" s="66">
        <f t="shared" si="16"/>
        <v>2.375</v>
      </c>
      <c r="D73" s="61">
        <f t="shared" si="12"/>
        <v>1.0720895120627756</v>
      </c>
      <c r="E73" s="62">
        <f t="shared" si="14"/>
        <v>2.546212591149092</v>
      </c>
      <c r="H73" s="32">
        <v>3.5</v>
      </c>
      <c r="I73" s="66">
        <f t="shared" si="17"/>
        <v>2.375</v>
      </c>
      <c r="J73" s="61">
        <f t="shared" si="13"/>
        <v>1.07125</v>
      </c>
      <c r="K73" s="62">
        <f t="shared" si="15"/>
        <v>2.5442187500000002</v>
      </c>
    </row>
    <row r="74" spans="2:11" ht="21" x14ac:dyDescent="0.4">
      <c r="B74" s="32">
        <v>4</v>
      </c>
      <c r="C74" s="66">
        <f t="shared" si="16"/>
        <v>2.375</v>
      </c>
      <c r="D74" s="61">
        <f t="shared" si="12"/>
        <v>1.0475000000000001</v>
      </c>
      <c r="E74" s="62">
        <f t="shared" si="14"/>
        <v>2.4878125000000004</v>
      </c>
      <c r="H74" s="32">
        <v>4</v>
      </c>
      <c r="I74" s="66">
        <f t="shared" si="17"/>
        <v>2.375</v>
      </c>
      <c r="J74" s="61">
        <f t="shared" si="13"/>
        <v>1.0475000000000001</v>
      </c>
      <c r="K74" s="62">
        <f t="shared" si="15"/>
        <v>2.4878125000000004</v>
      </c>
    </row>
    <row r="75" spans="2:11" ht="21" x14ac:dyDescent="0.4">
      <c r="B75" s="32">
        <v>4.5</v>
      </c>
      <c r="C75" s="66">
        <f t="shared" si="16"/>
        <v>2.375</v>
      </c>
      <c r="D75" s="61">
        <f t="shared" si="12"/>
        <v>1.0234744745229361</v>
      </c>
      <c r="E75" s="62">
        <f t="shared" si="14"/>
        <v>2.4307518769919731</v>
      </c>
      <c r="H75" s="32">
        <v>4.5</v>
      </c>
      <c r="I75" s="66">
        <f t="shared" si="17"/>
        <v>2.375</v>
      </c>
      <c r="J75" s="61">
        <f t="shared" si="13"/>
        <v>1.0237499999999999</v>
      </c>
      <c r="K75" s="62">
        <f t="shared" si="15"/>
        <v>2.4314062499999998</v>
      </c>
    </row>
    <row r="76" spans="2:11" ht="21" x14ac:dyDescent="0.4">
      <c r="B76" s="32">
        <v>5</v>
      </c>
      <c r="C76" s="66">
        <f>$C$25+$C$26</f>
        <v>102.375</v>
      </c>
      <c r="D76" s="61">
        <f t="shared" si="12"/>
        <v>1</v>
      </c>
      <c r="E76" s="62">
        <f t="shared" si="14"/>
        <v>102.375</v>
      </c>
      <c r="H76" s="32">
        <v>5</v>
      </c>
      <c r="I76" s="66">
        <f>$C$25+$C$26</f>
        <v>102.375</v>
      </c>
      <c r="J76" s="61">
        <f t="shared" si="13"/>
        <v>1</v>
      </c>
      <c r="K76" s="62">
        <f t="shared" si="15"/>
        <v>102.375</v>
      </c>
    </row>
    <row r="77" spans="2:11" ht="21" x14ac:dyDescent="0.4">
      <c r="B77" s="32"/>
      <c r="C77" s="67"/>
      <c r="D77" s="63" t="s">
        <v>95</v>
      </c>
      <c r="E77" s="62">
        <f>SUM(E66:E76)</f>
        <v>0</v>
      </c>
      <c r="H77" s="32"/>
      <c r="I77" s="67"/>
      <c r="J77" s="63" t="s">
        <v>95</v>
      </c>
      <c r="K77" s="62">
        <f>SUM(K66:K76)</f>
        <v>0.19800878101874275</v>
      </c>
    </row>
  </sheetData>
  <mergeCells count="6">
    <mergeCell ref="B31:E31"/>
    <mergeCell ref="H31:K31"/>
    <mergeCell ref="B47:E47"/>
    <mergeCell ref="B64:E64"/>
    <mergeCell ref="H47:K47"/>
    <mergeCell ref="H64:K64"/>
  </mergeCells>
  <pageMargins left="0.7" right="0.7" top="0.75" bottom="0.75" header="0.3" footer="0.3"/>
  <pageSetup paperSize="9"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oglio23"/>
  <dimension ref="B9:D17"/>
  <sheetViews>
    <sheetView workbookViewId="0">
      <selection activeCell="B17" sqref="B17"/>
    </sheetView>
  </sheetViews>
  <sheetFormatPr defaultColWidth="9.109375" defaultRowHeight="18" x14ac:dyDescent="0.35"/>
  <cols>
    <col min="1" max="1" width="4" style="4" customWidth="1"/>
    <col min="2" max="2" width="22.88671875" style="4" bestFit="1" customWidth="1"/>
    <col min="3" max="3" width="13.6640625" style="4" bestFit="1" customWidth="1"/>
    <col min="4" max="4" width="9.109375" style="4"/>
    <col min="5" max="5" width="5.33203125" style="4" bestFit="1" customWidth="1"/>
    <col min="6" max="6" width="57.88671875" style="4" customWidth="1"/>
    <col min="7" max="7" width="11.44140625" style="4" customWidth="1"/>
    <col min="8" max="8" width="14.5546875" style="4" bestFit="1" customWidth="1"/>
    <col min="9" max="9" width="9.6640625" style="4" bestFit="1" customWidth="1"/>
    <col min="10" max="10" width="10.33203125" style="4" bestFit="1" customWidth="1"/>
    <col min="11" max="16384" width="9.109375" style="4"/>
  </cols>
  <sheetData>
    <row r="9" spans="2:4" x14ac:dyDescent="0.35">
      <c r="B9" s="15" t="s">
        <v>0</v>
      </c>
      <c r="C9" s="16"/>
      <c r="D9" s="16"/>
    </row>
    <row r="10" spans="2:4" x14ac:dyDescent="0.35">
      <c r="B10" s="19" t="s">
        <v>20</v>
      </c>
      <c r="C10" s="27">
        <v>350</v>
      </c>
      <c r="D10" s="18"/>
    </row>
    <row r="11" spans="2:4" x14ac:dyDescent="0.35">
      <c r="B11" s="19" t="s">
        <v>6</v>
      </c>
      <c r="C11" s="27">
        <v>600</v>
      </c>
      <c r="D11" s="18"/>
    </row>
    <row r="12" spans="2:4" x14ac:dyDescent="0.35">
      <c r="B12" s="19" t="s">
        <v>23</v>
      </c>
      <c r="C12" s="18">
        <v>1</v>
      </c>
      <c r="D12" s="20" t="s">
        <v>25</v>
      </c>
    </row>
    <row r="13" spans="2:4" x14ac:dyDescent="0.35">
      <c r="B13" s="19" t="s">
        <v>24</v>
      </c>
      <c r="C13" s="18">
        <v>4</v>
      </c>
      <c r="D13" s="20" t="s">
        <v>25</v>
      </c>
    </row>
    <row r="14" spans="2:4" x14ac:dyDescent="0.35">
      <c r="B14" s="19" t="s">
        <v>15</v>
      </c>
      <c r="C14" s="18">
        <f>5.8%</f>
        <v>5.7999999999999996E-2</v>
      </c>
      <c r="D14" s="18"/>
    </row>
    <row r="15" spans="2:4" x14ac:dyDescent="0.35">
      <c r="B15" s="19" t="s">
        <v>27</v>
      </c>
      <c r="C15" s="18">
        <v>7</v>
      </c>
      <c r="D15" s="20" t="s">
        <v>25</v>
      </c>
    </row>
    <row r="17" spans="2:4" x14ac:dyDescent="0.35">
      <c r="B17" s="42" t="s">
        <v>28</v>
      </c>
      <c r="C17" s="49">
        <f>C10*(1+C14)*(C15/6-C12/6)-C11*(1+C14)^(C15/6-C13/6)</f>
        <v>-246.85476178994196</v>
      </c>
      <c r="D17" s="47"/>
    </row>
  </sheetData>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ublished="0" codeName="Foglio24"/>
  <dimension ref="B14:H34"/>
  <sheetViews>
    <sheetView workbookViewId="0">
      <selection activeCell="B28" sqref="B28"/>
    </sheetView>
  </sheetViews>
  <sheetFormatPr defaultRowHeight="14.4" x14ac:dyDescent="0.3"/>
  <cols>
    <col min="2" max="2" width="13.5546875" bestFit="1" customWidth="1"/>
    <col min="3" max="3" width="18" bestFit="1" customWidth="1"/>
  </cols>
  <sheetData>
    <row r="14" spans="2:4" ht="18" x14ac:dyDescent="0.35">
      <c r="B14" s="15" t="s">
        <v>0</v>
      </c>
      <c r="C14" s="16"/>
      <c r="D14" s="16"/>
    </row>
    <row r="15" spans="2:4" ht="18" x14ac:dyDescent="0.35">
      <c r="B15" s="19" t="s">
        <v>3</v>
      </c>
      <c r="C15" s="27">
        <v>10100</v>
      </c>
      <c r="D15" s="18"/>
    </row>
    <row r="16" spans="2:4" ht="18" x14ac:dyDescent="0.35">
      <c r="B16" s="19" t="s">
        <v>24</v>
      </c>
      <c r="C16" s="18">
        <f>1+11/12</f>
        <v>1.9166666666666665</v>
      </c>
      <c r="D16" s="18"/>
    </row>
    <row r="17" spans="2:7" ht="18" x14ac:dyDescent="0.35">
      <c r="B17" s="19" t="s">
        <v>67</v>
      </c>
      <c r="C17" s="37">
        <f>7.1%</f>
        <v>7.0999999999999994E-2</v>
      </c>
      <c r="D17" s="18"/>
    </row>
    <row r="18" spans="2:7" ht="18" x14ac:dyDescent="0.35">
      <c r="B18" s="19" t="s">
        <v>68</v>
      </c>
      <c r="C18" s="37">
        <f>7.2%</f>
        <v>7.2000000000000008E-2</v>
      </c>
      <c r="D18" s="18"/>
    </row>
    <row r="19" spans="2:7" ht="18" x14ac:dyDescent="0.35">
      <c r="B19" s="17"/>
      <c r="C19" s="18"/>
      <c r="D19" s="18"/>
    </row>
    <row r="20" spans="2:7" ht="18" x14ac:dyDescent="0.35">
      <c r="B20" s="17"/>
      <c r="C20" s="18"/>
      <c r="D20" s="18"/>
    </row>
    <row r="21" spans="2:7" ht="18" x14ac:dyDescent="0.35">
      <c r="B21" s="17"/>
      <c r="C21" s="18"/>
      <c r="D21" s="18"/>
    </row>
    <row r="22" spans="2:7" ht="18" x14ac:dyDescent="0.35">
      <c r="B22" s="17"/>
      <c r="C22" s="18"/>
      <c r="D22" s="18"/>
    </row>
    <row r="24" spans="2:7" ht="21" x14ac:dyDescent="0.4">
      <c r="B24" s="21"/>
      <c r="C24" s="21"/>
      <c r="D24" s="21"/>
      <c r="E24" s="21"/>
      <c r="F24" s="21"/>
      <c r="G24" s="21"/>
    </row>
    <row r="25" spans="2:7" ht="21" x14ac:dyDescent="0.4">
      <c r="B25" s="55" t="s">
        <v>57</v>
      </c>
      <c r="C25" s="71">
        <f>C15*C17*C16</f>
        <v>1374.4416666666664</v>
      </c>
      <c r="D25" s="52"/>
      <c r="E25" s="21"/>
      <c r="F25" s="21"/>
      <c r="G25" s="21"/>
    </row>
    <row r="26" spans="2:7" ht="21" x14ac:dyDescent="0.4">
      <c r="B26" s="55" t="s">
        <v>69</v>
      </c>
      <c r="C26" s="52">
        <f>(1+C25/C15)^(1/C16)-1</f>
        <v>6.8832531309098721E-2</v>
      </c>
      <c r="D26" s="52"/>
      <c r="E26" s="21"/>
      <c r="F26" s="21"/>
      <c r="G26" s="21"/>
    </row>
    <row r="27" spans="2:7" ht="21" x14ac:dyDescent="0.4">
      <c r="B27" s="21"/>
      <c r="C27" s="21"/>
      <c r="D27" s="21"/>
      <c r="E27" s="21"/>
      <c r="F27" s="21"/>
      <c r="G27" s="21"/>
    </row>
    <row r="28" spans="2:7" ht="21" x14ac:dyDescent="0.4">
      <c r="B28" s="55" t="s">
        <v>29</v>
      </c>
      <c r="C28" s="52">
        <f>LN(1+C25/C15)/LN(1+C18)</f>
        <v>1.8350913248291434</v>
      </c>
      <c r="D28" s="52"/>
      <c r="E28" s="21"/>
      <c r="F28" s="21"/>
      <c r="G28" s="21"/>
    </row>
    <row r="29" spans="2:7" ht="21" x14ac:dyDescent="0.4">
      <c r="B29" s="55" t="s">
        <v>69</v>
      </c>
      <c r="C29" s="72">
        <f>C18</f>
        <v>7.2000000000000008E-2</v>
      </c>
      <c r="D29" s="52"/>
      <c r="E29" s="21"/>
      <c r="F29" s="21"/>
      <c r="G29" s="21"/>
    </row>
    <row r="30" spans="2:7" ht="21" customHeight="1" x14ac:dyDescent="0.3"/>
    <row r="31" spans="2:7" ht="21" customHeight="1" x14ac:dyDescent="0.3"/>
    <row r="32" spans="2:7" ht="21" x14ac:dyDescent="0.4">
      <c r="B32" s="21"/>
      <c r="C32" s="21"/>
      <c r="D32" s="21"/>
      <c r="E32" s="21"/>
      <c r="F32" s="21"/>
      <c r="G32" s="21"/>
    </row>
    <row r="33" spans="2:8" ht="50.25" customHeight="1" x14ac:dyDescent="0.3">
      <c r="B33" s="145" t="s">
        <v>70</v>
      </c>
      <c r="C33" s="146"/>
      <c r="D33" s="146"/>
      <c r="E33" s="146"/>
      <c r="F33" s="146"/>
      <c r="G33" s="146"/>
      <c r="H33" s="146"/>
    </row>
    <row r="34" spans="2:8" x14ac:dyDescent="0.3">
      <c r="B34" s="146"/>
      <c r="C34" s="146"/>
      <c r="D34" s="146"/>
      <c r="E34" s="146"/>
      <c r="F34" s="146"/>
      <c r="G34" s="146"/>
      <c r="H34" s="146"/>
    </row>
  </sheetData>
  <mergeCells count="1">
    <mergeCell ref="B33:H34"/>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039DF-DE1A-4742-8ACD-3EE9A32ECBDD}">
  <sheetPr codeName="Foglio26"/>
  <dimension ref="A1:O23"/>
  <sheetViews>
    <sheetView workbookViewId="0">
      <selection activeCell="M32" sqref="M32"/>
    </sheetView>
  </sheetViews>
  <sheetFormatPr defaultRowHeight="14.4" x14ac:dyDescent="0.3"/>
  <cols>
    <col min="2" max="2" width="9.33203125" bestFit="1" customWidth="1"/>
    <col min="3" max="3" width="9.44140625" bestFit="1" customWidth="1"/>
  </cols>
  <sheetData>
    <row r="1" spans="1:15" x14ac:dyDescent="0.3">
      <c r="A1" s="147" t="s">
        <v>185</v>
      </c>
      <c r="B1" s="147"/>
      <c r="C1" s="147"/>
      <c r="D1" s="147"/>
      <c r="E1" s="147"/>
      <c r="F1" s="147"/>
      <c r="G1" s="147"/>
      <c r="H1" s="147"/>
      <c r="I1" s="147"/>
      <c r="J1" s="147"/>
      <c r="K1" s="147"/>
      <c r="L1" s="147"/>
      <c r="M1" s="147"/>
      <c r="N1" s="147"/>
      <c r="O1" s="147"/>
    </row>
    <row r="2" spans="1:15" x14ac:dyDescent="0.3">
      <c r="A2" s="147"/>
      <c r="B2" s="147"/>
      <c r="C2" s="147"/>
      <c r="D2" s="147"/>
      <c r="E2" s="147"/>
      <c r="F2" s="147"/>
      <c r="G2" s="147"/>
      <c r="H2" s="147"/>
      <c r="I2" s="147"/>
      <c r="J2" s="147"/>
      <c r="K2" s="147"/>
      <c r="L2" s="147"/>
      <c r="M2" s="147"/>
      <c r="N2" s="147"/>
      <c r="O2" s="147"/>
    </row>
    <row r="3" spans="1:15" x14ac:dyDescent="0.3">
      <c r="A3" s="147"/>
      <c r="B3" s="147"/>
      <c r="C3" s="147"/>
      <c r="D3" s="147"/>
      <c r="E3" s="147"/>
      <c r="F3" s="147"/>
      <c r="G3" s="147"/>
      <c r="H3" s="147"/>
      <c r="I3" s="147"/>
      <c r="J3" s="147"/>
      <c r="K3" s="147"/>
      <c r="L3" s="147"/>
      <c r="M3" s="147"/>
      <c r="N3" s="147"/>
      <c r="O3" s="147"/>
    </row>
    <row r="4" spans="1:15" x14ac:dyDescent="0.3">
      <c r="A4" s="147"/>
      <c r="B4" s="147"/>
      <c r="C4" s="147"/>
      <c r="D4" s="147"/>
      <c r="E4" s="147"/>
      <c r="F4" s="147"/>
      <c r="G4" s="147"/>
      <c r="H4" s="147"/>
      <c r="I4" s="147"/>
      <c r="J4" s="147"/>
      <c r="K4" s="147"/>
      <c r="L4" s="147"/>
      <c r="M4" s="147"/>
      <c r="N4" s="147"/>
      <c r="O4" s="147"/>
    </row>
    <row r="5" spans="1:15" x14ac:dyDescent="0.3">
      <c r="A5" s="147"/>
      <c r="B5" s="147"/>
      <c r="C5" s="147"/>
      <c r="D5" s="147"/>
      <c r="E5" s="147"/>
      <c r="F5" s="147"/>
      <c r="G5" s="147"/>
      <c r="H5" s="147"/>
      <c r="I5" s="147"/>
      <c r="J5" s="147"/>
      <c r="K5" s="147"/>
      <c r="L5" s="147"/>
      <c r="M5" s="147"/>
      <c r="N5" s="147"/>
      <c r="O5" s="147"/>
    </row>
    <row r="6" spans="1:15" x14ac:dyDescent="0.3">
      <c r="A6" s="147"/>
      <c r="B6" s="147"/>
      <c r="C6" s="147"/>
      <c r="D6" s="147"/>
      <c r="E6" s="147"/>
      <c r="F6" s="147"/>
      <c r="G6" s="147"/>
      <c r="H6" s="147"/>
      <c r="I6" s="147"/>
      <c r="J6" s="147"/>
      <c r="K6" s="147"/>
      <c r="L6" s="147"/>
      <c r="M6" s="147"/>
      <c r="N6" s="147"/>
      <c r="O6" s="147"/>
    </row>
    <row r="7" spans="1:15" x14ac:dyDescent="0.3">
      <c r="A7" s="147"/>
      <c r="B7" s="147"/>
      <c r="C7" s="147"/>
      <c r="D7" s="147"/>
      <c r="E7" s="147"/>
      <c r="F7" s="147"/>
      <c r="G7" s="147"/>
      <c r="H7" s="147"/>
      <c r="I7" s="147"/>
      <c r="J7" s="147"/>
      <c r="K7" s="147"/>
      <c r="L7" s="147"/>
      <c r="M7" s="147"/>
      <c r="N7" s="147"/>
      <c r="O7" s="147"/>
    </row>
    <row r="8" spans="1:15" x14ac:dyDescent="0.3">
      <c r="A8" s="147"/>
      <c r="B8" s="147"/>
      <c r="C8" s="147"/>
      <c r="D8" s="147"/>
      <c r="E8" s="147"/>
      <c r="F8" s="147"/>
      <c r="G8" s="147"/>
      <c r="H8" s="147"/>
      <c r="I8" s="147"/>
      <c r="J8" s="147"/>
      <c r="K8" s="147"/>
      <c r="L8" s="147"/>
      <c r="M8" s="147"/>
      <c r="N8" s="147"/>
      <c r="O8" s="147"/>
    </row>
    <row r="9" spans="1:15" x14ac:dyDescent="0.3">
      <c r="A9" s="147"/>
      <c r="B9" s="147"/>
      <c r="C9" s="147"/>
      <c r="D9" s="147"/>
      <c r="E9" s="147"/>
      <c r="F9" s="147"/>
      <c r="G9" s="147"/>
      <c r="H9" s="147"/>
      <c r="I9" s="147"/>
      <c r="J9" s="147"/>
      <c r="K9" s="147"/>
      <c r="L9" s="147"/>
      <c r="M9" s="147"/>
      <c r="N9" s="147"/>
      <c r="O9" s="147"/>
    </row>
    <row r="10" spans="1:15" x14ac:dyDescent="0.3">
      <c r="A10" s="147"/>
      <c r="B10" s="147"/>
      <c r="C10" s="147"/>
      <c r="D10" s="147"/>
      <c r="E10" s="147"/>
      <c r="F10" s="147"/>
      <c r="G10" s="147"/>
      <c r="H10" s="147"/>
      <c r="I10" s="147"/>
      <c r="J10" s="147"/>
      <c r="K10" s="147"/>
      <c r="L10" s="147"/>
      <c r="M10" s="147"/>
      <c r="N10" s="147"/>
      <c r="O10" s="147"/>
    </row>
    <row r="11" spans="1:15" x14ac:dyDescent="0.3">
      <c r="A11" s="147"/>
      <c r="B11" s="147"/>
      <c r="C11" s="147"/>
      <c r="D11" s="147"/>
      <c r="E11" s="147"/>
      <c r="F11" s="147"/>
      <c r="G11" s="147"/>
      <c r="H11" s="147"/>
      <c r="I11" s="147"/>
      <c r="J11" s="147"/>
      <c r="K11" s="147"/>
      <c r="L11" s="147"/>
      <c r="M11" s="147"/>
      <c r="N11" s="147"/>
      <c r="O11" s="147"/>
    </row>
    <row r="13" spans="1:15" x14ac:dyDescent="0.3">
      <c r="A13" t="s">
        <v>184</v>
      </c>
      <c r="B13" s="124">
        <v>98.2</v>
      </c>
      <c r="C13" s="124">
        <v>102.4</v>
      </c>
    </row>
    <row r="14" spans="1:15" x14ac:dyDescent="0.3">
      <c r="A14" t="s">
        <v>183</v>
      </c>
      <c r="B14">
        <v>0</v>
      </c>
      <c r="C14">
        <v>105</v>
      </c>
    </row>
    <row r="17" spans="1:4" x14ac:dyDescent="0.3">
      <c r="A17" t="s">
        <v>182</v>
      </c>
      <c r="B17" t="s">
        <v>130</v>
      </c>
      <c r="C17" s="123">
        <f>B13/C13</f>
        <v>0.958984375</v>
      </c>
    </row>
    <row r="18" spans="1:4" x14ac:dyDescent="0.3">
      <c r="A18" t="s">
        <v>181</v>
      </c>
      <c r="B18" t="s">
        <v>59</v>
      </c>
      <c r="C18" s="123">
        <f>C13/B13</f>
        <v>1.0427698574338087</v>
      </c>
    </row>
    <row r="19" spans="1:4" x14ac:dyDescent="0.3">
      <c r="A19" t="s">
        <v>180</v>
      </c>
      <c r="B19" t="s">
        <v>57</v>
      </c>
      <c r="C19" s="122">
        <f>C13-B13</f>
        <v>4.2000000000000028</v>
      </c>
    </row>
    <row r="20" spans="1:4" x14ac:dyDescent="0.3">
      <c r="A20" t="s">
        <v>179</v>
      </c>
      <c r="B20" t="s">
        <v>105</v>
      </c>
      <c r="C20" s="121">
        <f>C19/B13</f>
        <v>4.2769857433808581E-2</v>
      </c>
    </row>
    <row r="21" spans="1:4" x14ac:dyDescent="0.3">
      <c r="A21" t="s">
        <v>178</v>
      </c>
      <c r="B21" t="s">
        <v>45</v>
      </c>
      <c r="C21" s="121">
        <f>C19/C13</f>
        <v>4.1015625000000028E-2</v>
      </c>
    </row>
    <row r="22" spans="1:4" x14ac:dyDescent="0.3">
      <c r="A22" t="s">
        <v>177</v>
      </c>
      <c r="B22" t="s">
        <v>176</v>
      </c>
      <c r="C22">
        <f>C20/C14</f>
        <v>4.073319755600817E-4</v>
      </c>
      <c r="D22" t="s">
        <v>9</v>
      </c>
    </row>
    <row r="23" spans="1:4" x14ac:dyDescent="0.3">
      <c r="A23" t="s">
        <v>175</v>
      </c>
      <c r="B23" t="s">
        <v>174</v>
      </c>
      <c r="C23">
        <f>C21/C14</f>
        <v>3.9062500000000024E-4</v>
      </c>
      <c r="D23" t="s">
        <v>9</v>
      </c>
    </row>
  </sheetData>
  <mergeCells count="1">
    <mergeCell ref="A1:O11"/>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Foglio29"/>
  <dimension ref="B9:E26"/>
  <sheetViews>
    <sheetView workbookViewId="0">
      <selection activeCell="F29" sqref="F29"/>
    </sheetView>
  </sheetViews>
  <sheetFormatPr defaultColWidth="9.109375" defaultRowHeight="18" x14ac:dyDescent="0.35"/>
  <cols>
    <col min="1" max="1" width="4" style="4" customWidth="1"/>
    <col min="2" max="2" width="22.88671875" style="4" bestFit="1" customWidth="1"/>
    <col min="3" max="3" width="13.6640625" style="4" bestFit="1" customWidth="1"/>
    <col min="4" max="4" width="9.109375" style="4"/>
    <col min="5" max="5" width="8.33203125" style="4" bestFit="1" customWidth="1"/>
    <col min="6" max="6" width="57.88671875" style="4" customWidth="1"/>
    <col min="7" max="7" width="11.44140625" style="4" customWidth="1"/>
    <col min="8" max="8" width="14.5546875" style="4" bestFit="1" customWidth="1"/>
    <col min="9" max="9" width="9.6640625" style="4" bestFit="1" customWidth="1"/>
    <col min="10" max="10" width="10.33203125" style="4" bestFit="1" customWidth="1"/>
    <col min="11" max="16384" width="9.109375" style="4"/>
  </cols>
  <sheetData>
    <row r="9" spans="2:4" x14ac:dyDescent="0.35">
      <c r="B9" s="15" t="s">
        <v>0</v>
      </c>
      <c r="C9" s="16"/>
      <c r="D9" s="16"/>
    </row>
    <row r="10" spans="2:4" x14ac:dyDescent="0.35">
      <c r="B10" s="19" t="s">
        <v>1</v>
      </c>
      <c r="C10" s="18">
        <f>1/2</f>
        <v>0.5</v>
      </c>
      <c r="D10" s="18"/>
    </row>
    <row r="11" spans="2:4" x14ac:dyDescent="0.35">
      <c r="B11" s="19" t="s">
        <v>62</v>
      </c>
      <c r="C11" s="18">
        <f>2.3%</f>
        <v>2.3E-2</v>
      </c>
      <c r="D11" s="18"/>
    </row>
    <row r="16" spans="2:4" x14ac:dyDescent="0.35">
      <c r="B16" s="42" t="s">
        <v>18</v>
      </c>
    </row>
    <row r="20" spans="2:5" x14ac:dyDescent="0.35">
      <c r="B20" s="1" t="s">
        <v>88</v>
      </c>
      <c r="C20" s="4">
        <f>1/C10*LN(1+C11*C10)</f>
        <v>2.2868755251326339E-2</v>
      </c>
      <c r="D20" s="1" t="s">
        <v>14</v>
      </c>
    </row>
    <row r="22" spans="2:5" x14ac:dyDescent="0.35">
      <c r="B22" s="42" t="s">
        <v>33</v>
      </c>
    </row>
    <row r="24" spans="2:5" x14ac:dyDescent="0.35">
      <c r="E24" s="1" t="s">
        <v>89</v>
      </c>
    </row>
    <row r="26" spans="2:5" x14ac:dyDescent="0.35">
      <c r="B26" s="1" t="s">
        <v>88</v>
      </c>
      <c r="C26" s="4">
        <f>LN(1+C11)</f>
        <v>2.2739486969489339E-2</v>
      </c>
      <c r="D26" s="1" t="s">
        <v>14</v>
      </c>
    </row>
  </sheetData>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ublished="0" codeName="Foglio31"/>
  <dimension ref="A2:K35"/>
  <sheetViews>
    <sheetView workbookViewId="0">
      <selection activeCell="B2" sqref="B2:K13"/>
    </sheetView>
  </sheetViews>
  <sheetFormatPr defaultRowHeight="14.4" x14ac:dyDescent="0.3"/>
  <cols>
    <col min="2" max="2" width="21.33203125" customWidth="1"/>
    <col min="3" max="3" width="19.6640625" customWidth="1"/>
    <col min="6" max="6" width="10.88671875" bestFit="1" customWidth="1"/>
  </cols>
  <sheetData>
    <row r="2" spans="2:11" ht="15" customHeight="1" x14ac:dyDescent="0.3">
      <c r="B2" s="148" t="s">
        <v>137</v>
      </c>
      <c r="C2" s="148"/>
      <c r="D2" s="148"/>
      <c r="E2" s="148"/>
      <c r="F2" s="148"/>
      <c r="G2" s="148"/>
      <c r="H2" s="148"/>
      <c r="I2" s="148"/>
      <c r="J2" s="148"/>
      <c r="K2" s="148"/>
    </row>
    <row r="3" spans="2:11" ht="15" customHeight="1" x14ac:dyDescent="0.3">
      <c r="B3" s="148"/>
      <c r="C3" s="148"/>
      <c r="D3" s="148"/>
      <c r="E3" s="148"/>
      <c r="F3" s="148"/>
      <c r="G3" s="148"/>
      <c r="H3" s="148"/>
      <c r="I3" s="148"/>
      <c r="J3" s="148"/>
      <c r="K3" s="148"/>
    </row>
    <row r="4" spans="2:11" ht="15" customHeight="1" x14ac:dyDescent="0.3">
      <c r="B4" s="148"/>
      <c r="C4" s="148"/>
      <c r="D4" s="148"/>
      <c r="E4" s="148"/>
      <c r="F4" s="148"/>
      <c r="G4" s="148"/>
      <c r="H4" s="148"/>
      <c r="I4" s="148"/>
      <c r="J4" s="148"/>
      <c r="K4" s="148"/>
    </row>
    <row r="5" spans="2:11" ht="15" customHeight="1" x14ac:dyDescent="0.3">
      <c r="B5" s="148"/>
      <c r="C5" s="148"/>
      <c r="D5" s="148"/>
      <c r="E5" s="148"/>
      <c r="F5" s="148"/>
      <c r="G5" s="148"/>
      <c r="H5" s="148"/>
      <c r="I5" s="148"/>
      <c r="J5" s="148"/>
      <c r="K5" s="148"/>
    </row>
    <row r="6" spans="2:11" ht="15" customHeight="1" x14ac:dyDescent="0.3">
      <c r="B6" s="148"/>
      <c r="C6" s="148"/>
      <c r="D6" s="148"/>
      <c r="E6" s="148"/>
      <c r="F6" s="148"/>
      <c r="G6" s="148"/>
      <c r="H6" s="148"/>
      <c r="I6" s="148"/>
      <c r="J6" s="148"/>
      <c r="K6" s="148"/>
    </row>
    <row r="7" spans="2:11" ht="15" customHeight="1" x14ac:dyDescent="0.3">
      <c r="B7" s="148"/>
      <c r="C7" s="148"/>
      <c r="D7" s="148"/>
      <c r="E7" s="148"/>
      <c r="F7" s="148"/>
      <c r="G7" s="148"/>
      <c r="H7" s="148"/>
      <c r="I7" s="148"/>
      <c r="J7" s="148"/>
      <c r="K7" s="148"/>
    </row>
    <row r="8" spans="2:11" ht="15" customHeight="1" x14ac:dyDescent="0.3">
      <c r="B8" s="148"/>
      <c r="C8" s="148"/>
      <c r="D8" s="148"/>
      <c r="E8" s="148"/>
      <c r="F8" s="148"/>
      <c r="G8" s="148"/>
      <c r="H8" s="148"/>
      <c r="I8" s="148"/>
      <c r="J8" s="148"/>
      <c r="K8" s="148"/>
    </row>
    <row r="9" spans="2:11" ht="15" customHeight="1" x14ac:dyDescent="0.3">
      <c r="B9" s="148"/>
      <c r="C9" s="148"/>
      <c r="D9" s="148"/>
      <c r="E9" s="148"/>
      <c r="F9" s="148"/>
      <c r="G9" s="148"/>
      <c r="H9" s="148"/>
      <c r="I9" s="148"/>
      <c r="J9" s="148"/>
      <c r="K9" s="148"/>
    </row>
    <row r="10" spans="2:11" ht="15" customHeight="1" x14ac:dyDescent="0.3">
      <c r="B10" s="148"/>
      <c r="C10" s="148"/>
      <c r="D10" s="148"/>
      <c r="E10" s="148"/>
      <c r="F10" s="148"/>
      <c r="G10" s="148"/>
      <c r="H10" s="148"/>
      <c r="I10" s="148"/>
      <c r="J10" s="148"/>
      <c r="K10" s="148"/>
    </row>
    <row r="11" spans="2:11" ht="15" customHeight="1" x14ac:dyDescent="0.3">
      <c r="B11" s="148"/>
      <c r="C11" s="148"/>
      <c r="D11" s="148"/>
      <c r="E11" s="148"/>
      <c r="F11" s="148"/>
      <c r="G11" s="148"/>
      <c r="H11" s="148"/>
      <c r="I11" s="148"/>
      <c r="J11" s="148"/>
      <c r="K11" s="148"/>
    </row>
    <row r="12" spans="2:11" ht="15" customHeight="1" x14ac:dyDescent="0.3">
      <c r="B12" s="148"/>
      <c r="C12" s="148"/>
      <c r="D12" s="148"/>
      <c r="E12" s="148"/>
      <c r="F12" s="148"/>
      <c r="G12" s="148"/>
      <c r="H12" s="148"/>
      <c r="I12" s="148"/>
      <c r="J12" s="148"/>
      <c r="K12" s="148"/>
    </row>
    <row r="13" spans="2:11" ht="15" customHeight="1" x14ac:dyDescent="0.3">
      <c r="B13" s="148"/>
      <c r="C13" s="148"/>
      <c r="D13" s="148"/>
      <c r="E13" s="148"/>
      <c r="F13" s="148"/>
      <c r="G13" s="148"/>
      <c r="H13" s="148"/>
      <c r="I13" s="148"/>
      <c r="J13" s="148"/>
      <c r="K13" s="148"/>
    </row>
    <row r="14" spans="2:11" ht="15" customHeight="1" x14ac:dyDescent="0.3">
      <c r="B14" s="79"/>
      <c r="C14" s="79"/>
      <c r="D14" s="79"/>
      <c r="E14" s="79"/>
      <c r="F14" s="79"/>
      <c r="G14" s="79"/>
      <c r="H14" s="79"/>
      <c r="I14" s="79"/>
      <c r="J14" s="79"/>
      <c r="K14" s="79"/>
    </row>
    <row r="15" spans="2:11" ht="15" customHeight="1" x14ac:dyDescent="0.3">
      <c r="B15" s="79"/>
      <c r="C15" s="79"/>
      <c r="D15" s="79"/>
      <c r="E15" s="79"/>
      <c r="F15" s="79"/>
      <c r="G15" s="79"/>
      <c r="H15" s="79"/>
      <c r="I15" s="79"/>
      <c r="J15" s="79"/>
      <c r="K15" s="79"/>
    </row>
    <row r="16" spans="2:11" ht="20.100000000000001" customHeight="1" x14ac:dyDescent="0.3">
      <c r="B16" s="85" t="s">
        <v>62</v>
      </c>
      <c r="C16" s="83">
        <v>0.04</v>
      </c>
      <c r="D16" s="79"/>
      <c r="E16" s="79"/>
      <c r="F16" s="79"/>
      <c r="G16" s="79"/>
      <c r="H16" s="79"/>
      <c r="I16" s="79"/>
      <c r="J16" s="79"/>
      <c r="K16" s="79"/>
    </row>
    <row r="17" spans="1:11" ht="20.100000000000001" customHeight="1" x14ac:dyDescent="0.3">
      <c r="B17" s="85" t="s">
        <v>113</v>
      </c>
      <c r="C17" s="84" t="s">
        <v>114</v>
      </c>
      <c r="D17" s="79"/>
      <c r="E17" s="79"/>
      <c r="F17" s="84" t="s">
        <v>136</v>
      </c>
      <c r="G17" s="79"/>
      <c r="H17" s="79"/>
      <c r="I17" s="79"/>
      <c r="J17" s="79"/>
      <c r="K17" s="79"/>
    </row>
    <row r="18" spans="1:11" ht="20.100000000000001" customHeight="1" x14ac:dyDescent="0.3">
      <c r="B18" s="79"/>
      <c r="C18" s="79"/>
      <c r="D18" s="79"/>
      <c r="E18" s="79"/>
      <c r="F18" s="79"/>
      <c r="G18" s="79"/>
      <c r="H18" s="79"/>
      <c r="I18" s="79"/>
      <c r="J18" s="79"/>
      <c r="K18" s="79"/>
    </row>
    <row r="19" spans="1:11" ht="20.100000000000001" customHeight="1" x14ac:dyDescent="0.3">
      <c r="A19" s="89" t="s">
        <v>42</v>
      </c>
      <c r="B19" s="86" t="s">
        <v>115</v>
      </c>
      <c r="C19" s="87">
        <f>(1+C16)^3-1</f>
        <v>0.12486400000000009</v>
      </c>
      <c r="D19" s="79"/>
      <c r="E19" s="79"/>
      <c r="F19" s="79">
        <f>C16*3</f>
        <v>0.12</v>
      </c>
      <c r="G19" s="79"/>
      <c r="H19" s="79"/>
      <c r="I19" s="79"/>
      <c r="J19" s="79"/>
      <c r="K19" s="79"/>
    </row>
    <row r="20" spans="1:11" ht="20.100000000000001" customHeight="1" x14ac:dyDescent="0.35">
      <c r="A20" s="80"/>
      <c r="B20" s="79"/>
      <c r="C20" s="79"/>
      <c r="D20" s="79"/>
      <c r="E20" s="79"/>
      <c r="F20" s="79"/>
      <c r="G20" s="79"/>
      <c r="H20" s="79"/>
      <c r="I20" s="79"/>
      <c r="J20" s="79"/>
      <c r="K20" s="79"/>
    </row>
    <row r="21" spans="1:11" ht="20.100000000000001" customHeight="1" x14ac:dyDescent="0.3">
      <c r="A21" s="132" t="s">
        <v>43</v>
      </c>
      <c r="B21" s="85" t="s">
        <v>116</v>
      </c>
      <c r="C21" s="82">
        <v>1.1499999999999999</v>
      </c>
      <c r="D21" s="79"/>
      <c r="E21" s="79"/>
      <c r="F21" s="79">
        <v>1.1499999999999999</v>
      </c>
      <c r="G21" s="79"/>
      <c r="H21" s="79"/>
      <c r="I21" s="79"/>
      <c r="J21" s="79"/>
      <c r="K21" s="79"/>
    </row>
    <row r="22" spans="1:11" ht="20.100000000000001" customHeight="1" x14ac:dyDescent="0.35">
      <c r="A22" s="134"/>
      <c r="B22" s="86" t="s">
        <v>1</v>
      </c>
      <c r="C22" s="88">
        <f>LN(C21)/LN(1+C16)</f>
        <v>3.5634727453563833</v>
      </c>
      <c r="D22" s="80"/>
      <c r="F22">
        <f>(F21/1-1)*(1/C16)</f>
        <v>3.7499999999999978</v>
      </c>
    </row>
    <row r="23" spans="1:11" ht="20.100000000000001" customHeight="1" x14ac:dyDescent="0.35">
      <c r="A23" s="80"/>
      <c r="B23" s="80"/>
      <c r="C23" s="80"/>
      <c r="D23" s="80"/>
    </row>
    <row r="24" spans="1:11" ht="20.100000000000001" customHeight="1" x14ac:dyDescent="0.35">
      <c r="A24" s="132" t="s">
        <v>44</v>
      </c>
      <c r="B24" s="85" t="s">
        <v>116</v>
      </c>
      <c r="C24" s="45">
        <v>2</v>
      </c>
      <c r="D24" s="80"/>
      <c r="F24">
        <v>2</v>
      </c>
    </row>
    <row r="25" spans="1:11" ht="20.100000000000001" customHeight="1" x14ac:dyDescent="0.35">
      <c r="A25" s="134"/>
      <c r="B25" s="86" t="s">
        <v>1</v>
      </c>
      <c r="C25" s="88">
        <f>LN(C24)/LN(1+C16)</f>
        <v>17.672987685129698</v>
      </c>
      <c r="D25" s="80"/>
      <c r="F25">
        <f>(F24/1-1)*(1/C16)</f>
        <v>25</v>
      </c>
    </row>
    <row r="26" spans="1:11" ht="20.100000000000001" customHeight="1" x14ac:dyDescent="0.35">
      <c r="A26" s="80"/>
      <c r="B26" s="80"/>
      <c r="C26" s="80"/>
      <c r="D26" s="80"/>
    </row>
    <row r="27" spans="1:11" ht="20.100000000000001" customHeight="1" x14ac:dyDescent="0.35">
      <c r="A27" s="132" t="s">
        <v>45</v>
      </c>
      <c r="B27" s="85" t="s">
        <v>116</v>
      </c>
      <c r="C27" s="45">
        <v>2</v>
      </c>
      <c r="D27" s="45"/>
      <c r="F27">
        <v>2</v>
      </c>
    </row>
    <row r="28" spans="1:11" ht="20.100000000000001" customHeight="1" x14ac:dyDescent="0.35">
      <c r="A28" s="133"/>
      <c r="B28" s="85" t="s">
        <v>1</v>
      </c>
      <c r="C28" s="45">
        <v>10</v>
      </c>
      <c r="D28" s="45" t="s">
        <v>37</v>
      </c>
      <c r="F28">
        <v>10</v>
      </c>
    </row>
    <row r="29" spans="1:11" ht="20.100000000000001" customHeight="1" x14ac:dyDescent="0.35">
      <c r="A29" s="134"/>
      <c r="B29" s="86" t="s">
        <v>62</v>
      </c>
      <c r="C29" s="44">
        <f>C27^(1/C28)-1</f>
        <v>7.1773462536293131E-2</v>
      </c>
      <c r="D29" s="45"/>
      <c r="F29" s="99">
        <f>(F27/1-1)*(1/F28)</f>
        <v>0.1</v>
      </c>
    </row>
    <row r="30" spans="1:11" ht="20.100000000000001" customHeight="1" x14ac:dyDescent="0.35">
      <c r="A30" s="80"/>
      <c r="B30" s="80"/>
      <c r="C30" s="80"/>
      <c r="D30" s="80"/>
    </row>
    <row r="31" spans="1:11" ht="20.100000000000001" customHeight="1" x14ac:dyDescent="0.3"/>
    <row r="32" spans="1:11" ht="20.100000000000001" customHeight="1" x14ac:dyDescent="0.3"/>
    <row r="33" ht="20.100000000000001" customHeight="1" x14ac:dyDescent="0.3"/>
    <row r="34" ht="20.100000000000001" customHeight="1" x14ac:dyDescent="0.3"/>
    <row r="35" ht="20.100000000000001" customHeight="1" x14ac:dyDescent="0.3"/>
  </sheetData>
  <mergeCells count="4">
    <mergeCell ref="B2:K13"/>
    <mergeCell ref="A27:A29"/>
    <mergeCell ref="A24:A25"/>
    <mergeCell ref="A21:A22"/>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ublished="0" codeName="Foglio32"/>
  <dimension ref="B2:L39"/>
  <sheetViews>
    <sheetView workbookViewId="0">
      <selection activeCell="B2" sqref="B2:K13"/>
    </sheetView>
  </sheetViews>
  <sheetFormatPr defaultRowHeight="14.4" x14ac:dyDescent="0.3"/>
  <cols>
    <col min="3" max="3" width="11.5546875" customWidth="1"/>
    <col min="5" max="5" width="14.6640625" customWidth="1"/>
  </cols>
  <sheetData>
    <row r="2" spans="2:12" x14ac:dyDescent="0.3">
      <c r="B2" s="131" t="s">
        <v>117</v>
      </c>
      <c r="C2" s="131"/>
      <c r="D2" s="131"/>
      <c r="E2" s="131"/>
      <c r="F2" s="131"/>
      <c r="G2" s="131"/>
      <c r="H2" s="131"/>
      <c r="I2" s="131"/>
      <c r="J2" s="131"/>
      <c r="K2" s="131"/>
    </row>
    <row r="3" spans="2:12" x14ac:dyDescent="0.3">
      <c r="B3" s="131"/>
      <c r="C3" s="131"/>
      <c r="D3" s="131"/>
      <c r="E3" s="131"/>
      <c r="F3" s="131"/>
      <c r="G3" s="131"/>
      <c r="H3" s="131"/>
      <c r="I3" s="131"/>
      <c r="J3" s="131"/>
      <c r="K3" s="131"/>
    </row>
    <row r="4" spans="2:12" x14ac:dyDescent="0.3">
      <c r="B4" s="131"/>
      <c r="C4" s="131"/>
      <c r="D4" s="131"/>
      <c r="E4" s="131"/>
      <c r="F4" s="131"/>
      <c r="G4" s="131"/>
      <c r="H4" s="131"/>
      <c r="I4" s="131"/>
      <c r="J4" s="131"/>
      <c r="K4" s="131"/>
    </row>
    <row r="5" spans="2:12" x14ac:dyDescent="0.3">
      <c r="B5" s="131"/>
      <c r="C5" s="131"/>
      <c r="D5" s="131"/>
      <c r="E5" s="131"/>
      <c r="F5" s="131"/>
      <c r="G5" s="131"/>
      <c r="H5" s="131"/>
      <c r="I5" s="131"/>
      <c r="J5" s="131"/>
      <c r="K5" s="131"/>
    </row>
    <row r="6" spans="2:12" x14ac:dyDescent="0.3">
      <c r="B6" s="131"/>
      <c r="C6" s="131"/>
      <c r="D6" s="131"/>
      <c r="E6" s="131"/>
      <c r="F6" s="131"/>
      <c r="G6" s="131"/>
      <c r="H6" s="131"/>
      <c r="I6" s="131"/>
      <c r="J6" s="131"/>
      <c r="K6" s="131"/>
    </row>
    <row r="7" spans="2:12" x14ac:dyDescent="0.3">
      <c r="B7" s="131"/>
      <c r="C7" s="131"/>
      <c r="D7" s="131"/>
      <c r="E7" s="131"/>
      <c r="F7" s="131"/>
      <c r="G7" s="131"/>
      <c r="H7" s="131"/>
      <c r="I7" s="131"/>
      <c r="J7" s="131"/>
      <c r="K7" s="131"/>
    </row>
    <row r="8" spans="2:12" x14ac:dyDescent="0.3">
      <c r="B8" s="131"/>
      <c r="C8" s="131"/>
      <c r="D8" s="131"/>
      <c r="E8" s="131"/>
      <c r="F8" s="131"/>
      <c r="G8" s="131"/>
      <c r="H8" s="131"/>
      <c r="I8" s="131"/>
      <c r="J8" s="131"/>
      <c r="K8" s="131"/>
    </row>
    <row r="9" spans="2:12" x14ac:dyDescent="0.3">
      <c r="B9" s="131"/>
      <c r="C9" s="131"/>
      <c r="D9" s="131"/>
      <c r="E9" s="131"/>
      <c r="F9" s="131"/>
      <c r="G9" s="131"/>
      <c r="H9" s="131"/>
      <c r="I9" s="131"/>
      <c r="J9" s="131"/>
      <c r="K9" s="131"/>
    </row>
    <row r="10" spans="2:12" x14ac:dyDescent="0.3">
      <c r="B10" s="131"/>
      <c r="C10" s="131"/>
      <c r="D10" s="131"/>
      <c r="E10" s="131"/>
      <c r="F10" s="131"/>
      <c r="G10" s="131"/>
      <c r="H10" s="131"/>
      <c r="I10" s="131"/>
      <c r="J10" s="131"/>
      <c r="K10" s="131"/>
    </row>
    <row r="11" spans="2:12" x14ac:dyDescent="0.3">
      <c r="B11" s="131"/>
      <c r="C11" s="131"/>
      <c r="D11" s="131"/>
      <c r="E11" s="131"/>
      <c r="F11" s="131"/>
      <c r="G11" s="131"/>
      <c r="H11" s="131"/>
      <c r="I11" s="131"/>
      <c r="J11" s="131"/>
      <c r="K11" s="131"/>
    </row>
    <row r="12" spans="2:12" x14ac:dyDescent="0.3">
      <c r="B12" s="131"/>
      <c r="C12" s="131"/>
      <c r="D12" s="131"/>
      <c r="E12" s="131"/>
      <c r="F12" s="131"/>
      <c r="G12" s="131"/>
      <c r="H12" s="131"/>
      <c r="I12" s="131"/>
      <c r="J12" s="131"/>
      <c r="K12" s="131"/>
    </row>
    <row r="13" spans="2:12" x14ac:dyDescent="0.3">
      <c r="B13" s="131"/>
      <c r="C13" s="131"/>
      <c r="D13" s="131"/>
      <c r="E13" s="131"/>
      <c r="F13" s="131"/>
      <c r="G13" s="131"/>
      <c r="H13" s="131"/>
      <c r="I13" s="131"/>
      <c r="J13" s="131"/>
      <c r="K13" s="131"/>
    </row>
    <row r="15" spans="2:12" ht="18" x14ac:dyDescent="0.35">
      <c r="B15" s="81" t="s">
        <v>62</v>
      </c>
      <c r="C15" s="93">
        <v>0.05</v>
      </c>
      <c r="D15" s="80"/>
      <c r="E15" s="80"/>
      <c r="F15" s="80"/>
      <c r="G15" s="80"/>
      <c r="H15" s="80"/>
      <c r="I15" s="80"/>
      <c r="J15" s="80"/>
      <c r="K15" s="80"/>
      <c r="L15" s="80"/>
    </row>
    <row r="16" spans="2:12" ht="18" x14ac:dyDescent="0.35">
      <c r="B16" s="80"/>
      <c r="C16" s="90"/>
      <c r="D16" s="80"/>
      <c r="E16" s="80"/>
      <c r="F16" s="80"/>
      <c r="G16" s="80"/>
      <c r="H16" s="80"/>
      <c r="I16" s="80"/>
      <c r="J16" s="80"/>
      <c r="K16" s="80"/>
      <c r="L16" s="80"/>
    </row>
    <row r="17" spans="2:12" ht="18" x14ac:dyDescent="0.35">
      <c r="B17" s="149" t="s">
        <v>112</v>
      </c>
      <c r="C17" s="149"/>
      <c r="D17" s="149"/>
      <c r="E17" s="149"/>
      <c r="F17" s="149"/>
      <c r="G17" s="149"/>
      <c r="H17" s="80"/>
      <c r="I17" s="80"/>
      <c r="J17" s="80"/>
      <c r="K17" s="80"/>
      <c r="L17" s="80"/>
    </row>
    <row r="18" spans="2:12" ht="18" x14ac:dyDescent="0.35">
      <c r="B18" s="70" t="s">
        <v>118</v>
      </c>
      <c r="C18" s="70" t="s">
        <v>119</v>
      </c>
      <c r="D18" s="70" t="s">
        <v>120</v>
      </c>
      <c r="E18" s="70" t="s">
        <v>121</v>
      </c>
      <c r="F18" s="70" t="s">
        <v>122</v>
      </c>
      <c r="G18" s="70" t="s">
        <v>123</v>
      </c>
      <c r="H18" s="80"/>
      <c r="I18" s="80"/>
      <c r="J18" s="80"/>
      <c r="K18" s="80"/>
      <c r="L18" s="80"/>
    </row>
    <row r="19" spans="2:12" ht="18" x14ac:dyDescent="0.35">
      <c r="B19" s="45">
        <v>0</v>
      </c>
      <c r="C19" s="45">
        <v>1000</v>
      </c>
      <c r="D19" s="45"/>
      <c r="E19" s="45"/>
      <c r="F19" s="45"/>
      <c r="G19" s="45"/>
      <c r="H19" s="80"/>
      <c r="I19" s="80"/>
      <c r="J19" s="80"/>
      <c r="K19" s="80"/>
      <c r="L19" s="80"/>
    </row>
    <row r="20" spans="2:12" ht="18" x14ac:dyDescent="0.35">
      <c r="B20" s="45">
        <v>1</v>
      </c>
      <c r="C20" s="45">
        <f>C19+$C$19*$C$15</f>
        <v>1050</v>
      </c>
      <c r="D20" s="45">
        <f>C20-C19</f>
        <v>50</v>
      </c>
      <c r="E20" s="44">
        <f>D20/C19</f>
        <v>0.05</v>
      </c>
      <c r="F20" s="88">
        <f>C19/C20</f>
        <v>0.95238095238095233</v>
      </c>
      <c r="G20" s="91">
        <f>C20/C19</f>
        <v>1.05</v>
      </c>
      <c r="H20" s="80"/>
      <c r="I20" s="80"/>
      <c r="J20" s="80"/>
      <c r="K20" s="80"/>
      <c r="L20" s="80"/>
    </row>
    <row r="21" spans="2:12" ht="18" x14ac:dyDescent="0.35">
      <c r="B21" s="45">
        <v>2</v>
      </c>
      <c r="C21" s="45">
        <f>C20+$C$19*$C$15</f>
        <v>1100</v>
      </c>
      <c r="D21" s="45">
        <f t="shared" ref="D21:D24" si="0">C21-C20</f>
        <v>50</v>
      </c>
      <c r="E21" s="44">
        <f t="shared" ref="E21:E24" si="1">D21/C20</f>
        <v>4.7619047619047616E-2</v>
      </c>
      <c r="F21" s="88">
        <f t="shared" ref="F21:F24" si="2">C20/C21</f>
        <v>0.95454545454545459</v>
      </c>
      <c r="G21" s="91">
        <f t="shared" ref="G21:G24" si="3">C21/C20</f>
        <v>1.0476190476190477</v>
      </c>
      <c r="H21" s="80"/>
      <c r="I21" s="80"/>
      <c r="J21" s="80"/>
      <c r="K21" s="80"/>
      <c r="L21" s="80"/>
    </row>
    <row r="22" spans="2:12" ht="18" x14ac:dyDescent="0.35">
      <c r="B22" s="45">
        <v>3</v>
      </c>
      <c r="C22" s="45">
        <f>C21+$C$19*$C$15</f>
        <v>1150</v>
      </c>
      <c r="D22" s="45">
        <f t="shared" si="0"/>
        <v>50</v>
      </c>
      <c r="E22" s="44">
        <f t="shared" si="1"/>
        <v>4.5454545454545456E-2</v>
      </c>
      <c r="F22" s="88">
        <f t="shared" si="2"/>
        <v>0.95652173913043481</v>
      </c>
      <c r="G22" s="91">
        <f t="shared" si="3"/>
        <v>1.0454545454545454</v>
      </c>
      <c r="H22" s="80"/>
      <c r="I22" s="80"/>
      <c r="J22" s="80"/>
      <c r="K22" s="80"/>
      <c r="L22" s="80"/>
    </row>
    <row r="23" spans="2:12" ht="18" x14ac:dyDescent="0.35">
      <c r="B23" s="45">
        <v>4</v>
      </c>
      <c r="C23" s="45">
        <f>C22+$C$19*$C$15</f>
        <v>1200</v>
      </c>
      <c r="D23" s="45">
        <f t="shared" si="0"/>
        <v>50</v>
      </c>
      <c r="E23" s="44">
        <f t="shared" si="1"/>
        <v>4.3478260869565216E-2</v>
      </c>
      <c r="F23" s="88">
        <f t="shared" si="2"/>
        <v>0.95833333333333337</v>
      </c>
      <c r="G23" s="91">
        <f t="shared" si="3"/>
        <v>1.0434782608695652</v>
      </c>
      <c r="H23" s="80"/>
      <c r="I23" s="80"/>
      <c r="J23" s="80"/>
      <c r="K23" s="80"/>
      <c r="L23" s="80"/>
    </row>
    <row r="24" spans="2:12" ht="18" x14ac:dyDescent="0.35">
      <c r="B24" s="45">
        <v>5</v>
      </c>
      <c r="C24" s="45">
        <f>C23+$C$19*$C$15</f>
        <v>1250</v>
      </c>
      <c r="D24" s="45">
        <f t="shared" si="0"/>
        <v>50</v>
      </c>
      <c r="E24" s="44">
        <f t="shared" si="1"/>
        <v>4.1666666666666664E-2</v>
      </c>
      <c r="F24" s="88">
        <f t="shared" si="2"/>
        <v>0.96</v>
      </c>
      <c r="G24" s="91">
        <f t="shared" si="3"/>
        <v>1.0416666666666667</v>
      </c>
      <c r="H24" s="80"/>
      <c r="I24" s="80"/>
      <c r="J24" s="80"/>
      <c r="K24" s="80"/>
      <c r="L24" s="80"/>
    </row>
    <row r="25" spans="2:12" ht="18" x14ac:dyDescent="0.35">
      <c r="B25" s="80"/>
      <c r="C25" s="80"/>
      <c r="D25" s="80"/>
      <c r="E25" s="80"/>
      <c r="F25" s="80"/>
      <c r="G25" s="80"/>
      <c r="H25" s="80"/>
      <c r="I25" s="80"/>
      <c r="J25" s="80"/>
      <c r="K25" s="80"/>
      <c r="L25" s="80"/>
    </row>
    <row r="26" spans="2:12" ht="18" x14ac:dyDescent="0.35">
      <c r="B26" s="80"/>
      <c r="C26" s="80"/>
      <c r="D26" s="80"/>
      <c r="E26" s="80"/>
      <c r="F26" s="80"/>
      <c r="G26" s="80"/>
      <c r="H26" s="80"/>
      <c r="I26" s="80"/>
      <c r="J26" s="80"/>
      <c r="K26" s="80"/>
      <c r="L26" s="80"/>
    </row>
    <row r="27" spans="2:12" ht="18" x14ac:dyDescent="0.35">
      <c r="B27" s="80"/>
      <c r="C27" s="80"/>
      <c r="D27" s="80"/>
      <c r="E27" s="80"/>
      <c r="F27" s="80"/>
      <c r="G27" s="80"/>
      <c r="H27" s="80"/>
      <c r="I27" s="80"/>
      <c r="J27" s="80"/>
      <c r="K27" s="80"/>
      <c r="L27" s="80"/>
    </row>
    <row r="28" spans="2:12" ht="18" x14ac:dyDescent="0.35">
      <c r="B28" s="149" t="s">
        <v>97</v>
      </c>
      <c r="C28" s="149"/>
      <c r="D28" s="149"/>
      <c r="E28" s="149"/>
      <c r="F28" s="149"/>
      <c r="G28" s="149"/>
      <c r="H28" s="80"/>
      <c r="I28" s="80"/>
      <c r="J28" s="80"/>
      <c r="K28" s="80"/>
      <c r="L28" s="80"/>
    </row>
    <row r="29" spans="2:12" ht="18" x14ac:dyDescent="0.35">
      <c r="B29" s="70" t="s">
        <v>118</v>
      </c>
      <c r="C29" s="70" t="s">
        <v>119</v>
      </c>
      <c r="D29" s="70" t="s">
        <v>120</v>
      </c>
      <c r="E29" s="70" t="s">
        <v>121</v>
      </c>
      <c r="F29" s="70" t="s">
        <v>122</v>
      </c>
      <c r="G29" s="70" t="s">
        <v>123</v>
      </c>
      <c r="H29" s="80"/>
      <c r="I29" s="80"/>
      <c r="J29" s="80"/>
      <c r="K29" s="80"/>
      <c r="L29" s="80"/>
    </row>
    <row r="30" spans="2:12" ht="18" x14ac:dyDescent="0.35">
      <c r="B30" s="45">
        <v>0</v>
      </c>
      <c r="C30" s="92">
        <v>1000</v>
      </c>
      <c r="D30" s="45"/>
      <c r="E30" s="45"/>
      <c r="F30" s="45"/>
      <c r="G30" s="45"/>
      <c r="H30" s="80"/>
      <c r="I30" s="80"/>
      <c r="J30" s="80"/>
      <c r="K30" s="80"/>
      <c r="L30" s="80"/>
    </row>
    <row r="31" spans="2:12" ht="18" x14ac:dyDescent="0.35">
      <c r="B31" s="45">
        <v>1</v>
      </c>
      <c r="C31" s="92">
        <f>C30+C30*$C$15</f>
        <v>1050</v>
      </c>
      <c r="D31" s="92">
        <f>C31-C30</f>
        <v>50</v>
      </c>
      <c r="E31" s="44">
        <f>D31/C30</f>
        <v>0.05</v>
      </c>
      <c r="F31" s="88">
        <f>C30/C31</f>
        <v>0.95238095238095233</v>
      </c>
      <c r="G31" s="88">
        <f>C31/C30</f>
        <v>1.05</v>
      </c>
      <c r="H31" s="80"/>
      <c r="I31" s="80"/>
      <c r="J31" s="80"/>
      <c r="K31" s="80"/>
      <c r="L31" s="80"/>
    </row>
    <row r="32" spans="2:12" ht="18" x14ac:dyDescent="0.35">
      <c r="B32" s="45">
        <v>2</v>
      </c>
      <c r="C32" s="92">
        <f t="shared" ref="C32:C35" si="4">C31+C31*$C$15</f>
        <v>1102.5</v>
      </c>
      <c r="D32" s="92">
        <f t="shared" ref="D32:D35" si="5">C32-C31</f>
        <v>52.5</v>
      </c>
      <c r="E32" s="44">
        <f t="shared" ref="E32:E35" si="6">D32/C31</f>
        <v>0.05</v>
      </c>
      <c r="F32" s="88">
        <f t="shared" ref="F32:F35" si="7">C31/C32</f>
        <v>0.95238095238095233</v>
      </c>
      <c r="G32" s="88">
        <f t="shared" ref="G32:G35" si="8">C32/C31</f>
        <v>1.05</v>
      </c>
      <c r="H32" s="80"/>
      <c r="I32" s="80"/>
      <c r="J32" s="80"/>
      <c r="K32" s="80"/>
      <c r="L32" s="80"/>
    </row>
    <row r="33" spans="2:12" ht="18" x14ac:dyDescent="0.35">
      <c r="B33" s="45">
        <v>3</v>
      </c>
      <c r="C33" s="92">
        <f t="shared" si="4"/>
        <v>1157.625</v>
      </c>
      <c r="D33" s="92">
        <f t="shared" si="5"/>
        <v>55.125</v>
      </c>
      <c r="E33" s="44">
        <f t="shared" si="6"/>
        <v>0.05</v>
      </c>
      <c r="F33" s="88">
        <f t="shared" si="7"/>
        <v>0.95238095238095233</v>
      </c>
      <c r="G33" s="88">
        <f t="shared" si="8"/>
        <v>1.05</v>
      </c>
      <c r="H33" s="80"/>
      <c r="I33" s="80"/>
      <c r="J33" s="80"/>
      <c r="K33" s="80"/>
      <c r="L33" s="80"/>
    </row>
    <row r="34" spans="2:12" ht="18" x14ac:dyDescent="0.35">
      <c r="B34" s="45">
        <v>4</v>
      </c>
      <c r="C34" s="92">
        <f t="shared" si="4"/>
        <v>1215.5062499999999</v>
      </c>
      <c r="D34" s="92">
        <f t="shared" si="5"/>
        <v>57.881249999999909</v>
      </c>
      <c r="E34" s="44">
        <f t="shared" si="6"/>
        <v>4.999999999999992E-2</v>
      </c>
      <c r="F34" s="88">
        <f t="shared" si="7"/>
        <v>0.95238095238095244</v>
      </c>
      <c r="G34" s="88">
        <f t="shared" si="8"/>
        <v>1.0499999999999998</v>
      </c>
      <c r="H34" s="80"/>
      <c r="I34" s="80"/>
      <c r="J34" s="80"/>
      <c r="K34" s="80"/>
      <c r="L34" s="80"/>
    </row>
    <row r="35" spans="2:12" ht="18" x14ac:dyDescent="0.35">
      <c r="B35" s="45">
        <v>5</v>
      </c>
      <c r="C35" s="92">
        <f t="shared" si="4"/>
        <v>1276.2815624999998</v>
      </c>
      <c r="D35" s="92">
        <f t="shared" si="5"/>
        <v>60.775312499999927</v>
      </c>
      <c r="E35" s="44">
        <f t="shared" si="6"/>
        <v>4.9999999999999947E-2</v>
      </c>
      <c r="F35" s="88">
        <f t="shared" si="7"/>
        <v>0.95238095238095244</v>
      </c>
      <c r="G35" s="88">
        <f t="shared" si="8"/>
        <v>1.05</v>
      </c>
      <c r="H35" s="80"/>
      <c r="I35" s="80"/>
      <c r="J35" s="80"/>
      <c r="K35" s="80"/>
      <c r="L35" s="80"/>
    </row>
    <row r="36" spans="2:12" ht="18" x14ac:dyDescent="0.35">
      <c r="B36" s="80"/>
      <c r="C36" s="80"/>
      <c r="D36" s="80"/>
      <c r="E36" s="80"/>
      <c r="F36" s="80"/>
      <c r="G36" s="80"/>
      <c r="H36" s="80"/>
      <c r="I36" s="80"/>
      <c r="J36" s="80"/>
      <c r="K36" s="80"/>
      <c r="L36" s="80"/>
    </row>
    <row r="37" spans="2:12" ht="18" x14ac:dyDescent="0.35">
      <c r="B37" s="80"/>
      <c r="C37" s="80"/>
      <c r="D37" s="80"/>
      <c r="E37" s="80"/>
      <c r="F37" s="80"/>
      <c r="G37" s="80"/>
      <c r="H37" s="80"/>
      <c r="I37" s="80"/>
      <c r="J37" s="80"/>
      <c r="K37" s="80"/>
      <c r="L37" s="80"/>
    </row>
    <row r="38" spans="2:12" ht="18" x14ac:dyDescent="0.35">
      <c r="B38" s="80"/>
      <c r="C38" s="80"/>
      <c r="D38" s="80"/>
      <c r="E38" s="80"/>
      <c r="F38" s="80"/>
      <c r="G38" s="80"/>
      <c r="H38" s="80"/>
      <c r="I38" s="80"/>
      <c r="J38" s="80"/>
      <c r="K38" s="80"/>
      <c r="L38" s="80"/>
    </row>
    <row r="39" spans="2:12" ht="18" x14ac:dyDescent="0.35">
      <c r="B39" s="80"/>
      <c r="C39" s="80"/>
      <c r="D39" s="80"/>
      <c r="E39" s="80"/>
      <c r="F39" s="80"/>
      <c r="G39" s="80"/>
      <c r="H39" s="80"/>
      <c r="I39" s="80"/>
      <c r="J39" s="80"/>
      <c r="K39" s="80"/>
      <c r="L39" s="80"/>
    </row>
  </sheetData>
  <mergeCells count="3">
    <mergeCell ref="B2:K13"/>
    <mergeCell ref="B17:G17"/>
    <mergeCell ref="B28:G28"/>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3BAC2C-DD53-405B-A1F2-B21ED6232F8C}">
  <sheetPr published="0"/>
  <dimension ref="B2:K26"/>
  <sheetViews>
    <sheetView tabSelected="1" zoomScale="110" zoomScaleNormal="110" workbookViewId="0">
      <selection activeCell="K17" sqref="K17"/>
    </sheetView>
  </sheetViews>
  <sheetFormatPr defaultRowHeight="18" x14ac:dyDescent="0.35"/>
  <cols>
    <col min="1" max="1" width="8.88671875" style="80"/>
    <col min="2" max="2" width="21.33203125" style="80" customWidth="1"/>
    <col min="3" max="3" width="19.6640625" style="80" customWidth="1"/>
    <col min="4" max="4" width="15.109375" style="80" bestFit="1" customWidth="1"/>
    <col min="5" max="5" width="11.44140625" style="80" customWidth="1"/>
    <col min="6" max="6" width="10.88671875" style="80" bestFit="1" customWidth="1"/>
    <col min="7" max="7" width="11.88671875" style="80" bestFit="1" customWidth="1"/>
    <col min="8" max="16384" width="8.88671875" style="80"/>
  </cols>
  <sheetData>
    <row r="2" spans="2:11" ht="15" customHeight="1" x14ac:dyDescent="0.35">
      <c r="B2" s="131" t="s">
        <v>190</v>
      </c>
      <c r="C2" s="131"/>
      <c r="D2" s="131"/>
      <c r="E2" s="131"/>
      <c r="F2" s="131"/>
      <c r="G2" s="131"/>
      <c r="H2" s="131"/>
      <c r="I2" s="131"/>
      <c r="J2" s="131"/>
      <c r="K2" s="131"/>
    </row>
    <row r="3" spans="2:11" ht="15" customHeight="1" x14ac:dyDescent="0.35">
      <c r="B3" s="131"/>
      <c r="C3" s="131"/>
      <c r="D3" s="131"/>
      <c r="E3" s="131"/>
      <c r="F3" s="131"/>
      <c r="G3" s="131"/>
      <c r="H3" s="131"/>
      <c r="I3" s="131"/>
      <c r="J3" s="131"/>
      <c r="K3" s="131"/>
    </row>
    <row r="4" spans="2:11" ht="15" customHeight="1" x14ac:dyDescent="0.35">
      <c r="B4" s="131"/>
      <c r="C4" s="131"/>
      <c r="D4" s="131"/>
      <c r="E4" s="131"/>
      <c r="F4" s="131"/>
      <c r="G4" s="131"/>
      <c r="H4" s="131"/>
      <c r="I4" s="131"/>
      <c r="J4" s="131"/>
      <c r="K4" s="131"/>
    </row>
    <row r="5" spans="2:11" ht="15" customHeight="1" x14ac:dyDescent="0.35">
      <c r="B5" s="131"/>
      <c r="C5" s="131"/>
      <c r="D5" s="131"/>
      <c r="E5" s="131"/>
      <c r="F5" s="131"/>
      <c r="G5" s="131"/>
      <c r="H5" s="131"/>
      <c r="I5" s="131"/>
      <c r="J5" s="131"/>
      <c r="K5" s="131"/>
    </row>
    <row r="6" spans="2:11" ht="15" customHeight="1" x14ac:dyDescent="0.35">
      <c r="B6" s="131"/>
      <c r="C6" s="131"/>
      <c r="D6" s="131"/>
      <c r="E6" s="131"/>
      <c r="F6" s="131"/>
      <c r="G6" s="131"/>
      <c r="H6" s="131"/>
      <c r="I6" s="131"/>
      <c r="J6" s="131"/>
      <c r="K6" s="131"/>
    </row>
    <row r="7" spans="2:11" ht="15" customHeight="1" x14ac:dyDescent="0.35">
      <c r="B7" s="131"/>
      <c r="C7" s="131"/>
      <c r="D7" s="131"/>
      <c r="E7" s="131"/>
      <c r="F7" s="131"/>
      <c r="G7" s="131"/>
      <c r="H7" s="131"/>
      <c r="I7" s="131"/>
      <c r="J7" s="131"/>
      <c r="K7" s="131"/>
    </row>
    <row r="8" spans="2:11" ht="15" customHeight="1" x14ac:dyDescent="0.35">
      <c r="B8" s="131"/>
      <c r="C8" s="131"/>
      <c r="D8" s="131"/>
      <c r="E8" s="131"/>
      <c r="F8" s="131"/>
      <c r="G8" s="131"/>
      <c r="H8" s="131"/>
      <c r="I8" s="131"/>
      <c r="J8" s="131"/>
      <c r="K8" s="131"/>
    </row>
    <row r="9" spans="2:11" ht="15" customHeight="1" x14ac:dyDescent="0.35">
      <c r="B9" s="131"/>
      <c r="C9" s="131"/>
      <c r="D9" s="131"/>
      <c r="E9" s="131"/>
      <c r="F9" s="131"/>
      <c r="G9" s="131"/>
      <c r="H9" s="131"/>
      <c r="I9" s="131"/>
      <c r="J9" s="131"/>
      <c r="K9" s="131"/>
    </row>
    <row r="10" spans="2:11" ht="15" customHeight="1" x14ac:dyDescent="0.35">
      <c r="B10" s="131"/>
      <c r="C10" s="131"/>
      <c r="D10" s="131"/>
      <c r="E10" s="131"/>
      <c r="F10" s="131"/>
      <c r="G10" s="131"/>
      <c r="H10" s="131"/>
      <c r="I10" s="131"/>
      <c r="J10" s="131"/>
      <c r="K10" s="131"/>
    </row>
    <row r="11" spans="2:11" ht="15" customHeight="1" x14ac:dyDescent="0.35">
      <c r="B11" s="131"/>
      <c r="C11" s="131"/>
      <c r="D11" s="131"/>
      <c r="E11" s="131"/>
      <c r="F11" s="131"/>
      <c r="G11" s="131"/>
      <c r="H11" s="131"/>
      <c r="I11" s="131"/>
      <c r="J11" s="131"/>
      <c r="K11" s="131"/>
    </row>
    <row r="12" spans="2:11" ht="15" customHeight="1" x14ac:dyDescent="0.35">
      <c r="B12" s="131"/>
      <c r="C12" s="131"/>
      <c r="D12" s="131"/>
      <c r="E12" s="131"/>
      <c r="F12" s="131"/>
      <c r="G12" s="131"/>
      <c r="H12" s="131"/>
      <c r="I12" s="131"/>
      <c r="J12" s="131"/>
      <c r="K12" s="131"/>
    </row>
    <row r="13" spans="2:11" ht="15" customHeight="1" x14ac:dyDescent="0.35">
      <c r="B13" s="131"/>
      <c r="C13" s="131"/>
      <c r="D13" s="131"/>
      <c r="E13" s="131"/>
      <c r="F13" s="131"/>
      <c r="G13" s="131"/>
      <c r="H13" s="131"/>
      <c r="I13" s="131"/>
      <c r="J13" s="131"/>
      <c r="K13" s="131"/>
    </row>
    <row r="14" spans="2:11" ht="20.100000000000001" customHeight="1" x14ac:dyDescent="0.35"/>
    <row r="15" spans="2:11" ht="20.100000000000001" customHeight="1" x14ac:dyDescent="0.35">
      <c r="B15" s="81" t="s">
        <v>189</v>
      </c>
      <c r="C15" s="93">
        <v>0.05</v>
      </c>
    </row>
    <row r="16" spans="2:11" x14ac:dyDescent="0.35">
      <c r="B16" s="81" t="s">
        <v>189</v>
      </c>
      <c r="C16" s="93">
        <v>0.11</v>
      </c>
    </row>
    <row r="17" spans="2:7" x14ac:dyDescent="0.35">
      <c r="B17" s="81" t="s">
        <v>191</v>
      </c>
      <c r="C17" s="151">
        <v>4477.95</v>
      </c>
    </row>
    <row r="18" spans="2:7" x14ac:dyDescent="0.35">
      <c r="C18" s="90"/>
    </row>
    <row r="19" spans="2:7" s="150" customFormat="1" x14ac:dyDescent="0.35">
      <c r="B19" s="152" t="s">
        <v>1</v>
      </c>
      <c r="C19" s="152" t="s">
        <v>188</v>
      </c>
      <c r="D19" s="152" t="s">
        <v>192</v>
      </c>
      <c r="E19" s="152" t="s">
        <v>193</v>
      </c>
      <c r="F19" s="152"/>
      <c r="G19" s="126" t="s">
        <v>195</v>
      </c>
    </row>
    <row r="20" spans="2:7" x14ac:dyDescent="0.35">
      <c r="B20" s="125">
        <v>0</v>
      </c>
      <c r="C20" s="45">
        <v>1</v>
      </c>
      <c r="D20" s="88">
        <f>(1+$C$16)^($B$24-B20)</f>
        <v>1.5180704100000004</v>
      </c>
      <c r="E20" s="88">
        <f>C20*D20</f>
        <v>1.5180704100000004</v>
      </c>
      <c r="F20" s="45"/>
      <c r="G20" s="98">
        <f>$C$26*C20</f>
        <v>800.00007717818028</v>
      </c>
    </row>
    <row r="21" spans="2:7" x14ac:dyDescent="0.35">
      <c r="B21" s="125">
        <v>1</v>
      </c>
      <c r="C21" s="88">
        <f>C20+C20*$C$15</f>
        <v>1.05</v>
      </c>
      <c r="D21" s="88">
        <f t="shared" ref="D21:D23" si="0">(1+$C$16)^($B$24-B21)</f>
        <v>1.3676310000000003</v>
      </c>
      <c r="E21" s="88">
        <f t="shared" ref="E21:E23" si="1">C21*D21</f>
        <v>1.4360125500000003</v>
      </c>
      <c r="F21" s="45"/>
      <c r="G21" s="98">
        <f t="shared" ref="G21:G23" si="2">$C$26*C21</f>
        <v>840.00008103708933</v>
      </c>
    </row>
    <row r="22" spans="2:7" x14ac:dyDescent="0.35">
      <c r="B22" s="125">
        <v>2</v>
      </c>
      <c r="C22" s="88">
        <f t="shared" ref="C22:C23" si="3">C21+C21*$C$15</f>
        <v>1.1025</v>
      </c>
      <c r="D22" s="88">
        <f t="shared" si="0"/>
        <v>1.2321000000000002</v>
      </c>
      <c r="E22" s="88">
        <f t="shared" si="1"/>
        <v>1.3583902500000002</v>
      </c>
      <c r="F22" s="45"/>
      <c r="G22" s="98">
        <f t="shared" si="2"/>
        <v>882.00008508894382</v>
      </c>
    </row>
    <row r="23" spans="2:7" x14ac:dyDescent="0.35">
      <c r="B23" s="125">
        <v>3</v>
      </c>
      <c r="C23" s="88">
        <f t="shared" si="3"/>
        <v>1.1576250000000001</v>
      </c>
      <c r="D23" s="88">
        <f t="shared" si="0"/>
        <v>1.1100000000000001</v>
      </c>
      <c r="E23" s="88">
        <f t="shared" si="1"/>
        <v>1.2849637500000002</v>
      </c>
      <c r="F23" s="45"/>
      <c r="G23" s="98">
        <f t="shared" si="2"/>
        <v>926.10008934339101</v>
      </c>
    </row>
    <row r="24" spans="2:7" x14ac:dyDescent="0.35">
      <c r="B24" s="125">
        <v>4</v>
      </c>
      <c r="C24" s="98">
        <f>C17</f>
        <v>4477.95</v>
      </c>
    </row>
    <row r="26" spans="2:7" x14ac:dyDescent="0.35">
      <c r="B26" s="70" t="s">
        <v>194</v>
      </c>
      <c r="C26" s="98">
        <f>C24/SUM(E20:E23)</f>
        <v>800.00007717818028</v>
      </c>
    </row>
  </sheetData>
  <mergeCells count="1">
    <mergeCell ref="B2:K13"/>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73423-4135-46F0-B528-AD0AB17167F6}">
  <sheetPr published="0"/>
  <dimension ref="B2:K15"/>
  <sheetViews>
    <sheetView workbookViewId="0">
      <selection activeCell="B2" sqref="B2:K13"/>
    </sheetView>
  </sheetViews>
  <sheetFormatPr defaultRowHeight="14.4" x14ac:dyDescent="0.3"/>
  <cols>
    <col min="2" max="2" width="21.33203125" customWidth="1"/>
    <col min="3" max="3" width="19.6640625" customWidth="1"/>
    <col min="6" max="6" width="10.88671875" bestFit="1" customWidth="1"/>
  </cols>
  <sheetData>
    <row r="2" spans="2:11" ht="15" customHeight="1" x14ac:dyDescent="0.3">
      <c r="B2" s="148" t="s">
        <v>186</v>
      </c>
      <c r="C2" s="148"/>
      <c r="D2" s="148"/>
      <c r="E2" s="148"/>
      <c r="F2" s="148"/>
      <c r="G2" s="148"/>
      <c r="H2" s="148"/>
      <c r="I2" s="148"/>
      <c r="J2" s="148"/>
      <c r="K2" s="148"/>
    </row>
    <row r="3" spans="2:11" ht="15" customHeight="1" x14ac:dyDescent="0.3">
      <c r="B3" s="148"/>
      <c r="C3" s="148"/>
      <c r="D3" s="148"/>
      <c r="E3" s="148"/>
      <c r="F3" s="148"/>
      <c r="G3" s="148"/>
      <c r="H3" s="148"/>
      <c r="I3" s="148"/>
      <c r="J3" s="148"/>
      <c r="K3" s="148"/>
    </row>
    <row r="4" spans="2:11" ht="15" customHeight="1" x14ac:dyDescent="0.3">
      <c r="B4" s="148"/>
      <c r="C4" s="148"/>
      <c r="D4" s="148"/>
      <c r="E4" s="148"/>
      <c r="F4" s="148"/>
      <c r="G4" s="148"/>
      <c r="H4" s="148"/>
      <c r="I4" s="148"/>
      <c r="J4" s="148"/>
      <c r="K4" s="148"/>
    </row>
    <row r="5" spans="2:11" ht="15" customHeight="1" x14ac:dyDescent="0.3">
      <c r="B5" s="148"/>
      <c r="C5" s="148"/>
      <c r="D5" s="148"/>
      <c r="E5" s="148"/>
      <c r="F5" s="148"/>
      <c r="G5" s="148"/>
      <c r="H5" s="148"/>
      <c r="I5" s="148"/>
      <c r="J5" s="148"/>
      <c r="K5" s="148"/>
    </row>
    <row r="6" spans="2:11" ht="15" customHeight="1" x14ac:dyDescent="0.3">
      <c r="B6" s="148"/>
      <c r="C6" s="148"/>
      <c r="D6" s="148"/>
      <c r="E6" s="148"/>
      <c r="F6" s="148"/>
      <c r="G6" s="148"/>
      <c r="H6" s="148"/>
      <c r="I6" s="148"/>
      <c r="J6" s="148"/>
      <c r="K6" s="148"/>
    </row>
    <row r="7" spans="2:11" ht="15" customHeight="1" x14ac:dyDescent="0.3">
      <c r="B7" s="148"/>
      <c r="C7" s="148"/>
      <c r="D7" s="148"/>
      <c r="E7" s="148"/>
      <c r="F7" s="148"/>
      <c r="G7" s="148"/>
      <c r="H7" s="148"/>
      <c r="I7" s="148"/>
      <c r="J7" s="148"/>
      <c r="K7" s="148"/>
    </row>
    <row r="8" spans="2:11" ht="15" customHeight="1" x14ac:dyDescent="0.3">
      <c r="B8" s="148"/>
      <c r="C8" s="148"/>
      <c r="D8" s="148"/>
      <c r="E8" s="148"/>
      <c r="F8" s="148"/>
      <c r="G8" s="148"/>
      <c r="H8" s="148"/>
      <c r="I8" s="148"/>
      <c r="J8" s="148"/>
      <c r="K8" s="148"/>
    </row>
    <row r="9" spans="2:11" ht="15" customHeight="1" x14ac:dyDescent="0.3">
      <c r="B9" s="148"/>
      <c r="C9" s="148"/>
      <c r="D9" s="148"/>
      <c r="E9" s="148"/>
      <c r="F9" s="148"/>
      <c r="G9" s="148"/>
      <c r="H9" s="148"/>
      <c r="I9" s="148"/>
      <c r="J9" s="148"/>
      <c r="K9" s="148"/>
    </row>
    <row r="10" spans="2:11" ht="15" customHeight="1" x14ac:dyDescent="0.3">
      <c r="B10" s="148"/>
      <c r="C10" s="148"/>
      <c r="D10" s="148"/>
      <c r="E10" s="148"/>
      <c r="F10" s="148"/>
      <c r="G10" s="148"/>
      <c r="H10" s="148"/>
      <c r="I10" s="148"/>
      <c r="J10" s="148"/>
      <c r="K10" s="148"/>
    </row>
    <row r="11" spans="2:11" ht="15" customHeight="1" x14ac:dyDescent="0.3">
      <c r="B11" s="148"/>
      <c r="C11" s="148"/>
      <c r="D11" s="148"/>
      <c r="E11" s="148"/>
      <c r="F11" s="148"/>
      <c r="G11" s="148"/>
      <c r="H11" s="148"/>
      <c r="I11" s="148"/>
      <c r="J11" s="148"/>
      <c r="K11" s="148"/>
    </row>
    <row r="12" spans="2:11" ht="15" customHeight="1" x14ac:dyDescent="0.3">
      <c r="B12" s="148"/>
      <c r="C12" s="148"/>
      <c r="D12" s="148"/>
      <c r="E12" s="148"/>
      <c r="F12" s="148"/>
      <c r="G12" s="148"/>
      <c r="H12" s="148"/>
      <c r="I12" s="148"/>
      <c r="J12" s="148"/>
      <c r="K12" s="148"/>
    </row>
    <row r="13" spans="2:11" ht="15" customHeight="1" x14ac:dyDescent="0.3">
      <c r="B13" s="148"/>
      <c r="C13" s="148"/>
      <c r="D13" s="148"/>
      <c r="E13" s="148"/>
      <c r="F13" s="148"/>
      <c r="G13" s="148"/>
      <c r="H13" s="148"/>
      <c r="I13" s="148"/>
      <c r="J13" s="148"/>
      <c r="K13" s="148"/>
    </row>
    <row r="14" spans="2:11" ht="20.100000000000001" customHeight="1" x14ac:dyDescent="0.3"/>
    <row r="15" spans="2:11" ht="20.100000000000001" customHeight="1" x14ac:dyDescent="0.3"/>
  </sheetData>
  <mergeCells count="1">
    <mergeCell ref="B2:K1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ublished="0" codeName="Foglio25"/>
  <dimension ref="B32:E61"/>
  <sheetViews>
    <sheetView workbookViewId="0">
      <selection activeCell="B32" sqref="B32:D45"/>
    </sheetView>
  </sheetViews>
  <sheetFormatPr defaultRowHeight="14.4" x14ac:dyDescent="0.3"/>
  <cols>
    <col min="2" max="2" width="27" bestFit="1" customWidth="1"/>
    <col min="3" max="3" width="16.33203125" bestFit="1" customWidth="1"/>
    <col min="4" max="4" width="10.6640625" bestFit="1" customWidth="1"/>
  </cols>
  <sheetData>
    <row r="32" spans="2:4" ht="18" x14ac:dyDescent="0.35">
      <c r="B32" s="15" t="s">
        <v>0</v>
      </c>
      <c r="C32" s="16"/>
      <c r="D32" s="16"/>
    </row>
    <row r="33" spans="2:5" ht="18" x14ac:dyDescent="0.35">
      <c r="B33" s="19" t="s">
        <v>72</v>
      </c>
      <c r="C33" s="18"/>
      <c r="D33" s="18"/>
    </row>
    <row r="34" spans="2:5" ht="18" x14ac:dyDescent="0.35">
      <c r="B34" s="19" t="s">
        <v>23</v>
      </c>
      <c r="C34" s="38">
        <v>41897</v>
      </c>
      <c r="D34" s="18"/>
    </row>
    <row r="35" spans="2:5" ht="18" x14ac:dyDescent="0.35">
      <c r="B35" s="19" t="s">
        <v>71</v>
      </c>
      <c r="C35" s="38">
        <v>41988</v>
      </c>
      <c r="D35" s="18"/>
    </row>
    <row r="36" spans="2:5" ht="18" x14ac:dyDescent="0.35">
      <c r="B36" s="19" t="s">
        <v>61</v>
      </c>
      <c r="C36" s="18">
        <v>5000</v>
      </c>
      <c r="D36" s="18"/>
    </row>
    <row r="37" spans="2:5" ht="18" x14ac:dyDescent="0.35">
      <c r="B37" s="19" t="s">
        <v>73</v>
      </c>
      <c r="C37" s="18">
        <v>4880</v>
      </c>
      <c r="D37" s="18"/>
    </row>
    <row r="38" spans="2:5" ht="18" x14ac:dyDescent="0.35">
      <c r="B38" s="19" t="s">
        <v>74</v>
      </c>
      <c r="C38" s="18">
        <f>12.5%</f>
        <v>0.125</v>
      </c>
      <c r="D38" s="18"/>
    </row>
    <row r="39" spans="2:5" ht="18" x14ac:dyDescent="0.35">
      <c r="B39" s="19" t="s">
        <v>5</v>
      </c>
      <c r="C39" s="18">
        <v>365</v>
      </c>
      <c r="D39" s="18"/>
    </row>
    <row r="40" spans="2:5" ht="18" x14ac:dyDescent="0.35">
      <c r="B40" s="17"/>
      <c r="C40" s="18"/>
      <c r="D40" s="18"/>
    </row>
    <row r="41" spans="2:5" ht="18" x14ac:dyDescent="0.35">
      <c r="B41" s="17"/>
      <c r="C41" s="18"/>
      <c r="D41" s="18"/>
    </row>
    <row r="43" spans="2:5" ht="21" x14ac:dyDescent="0.4">
      <c r="B43" s="55" t="s">
        <v>81</v>
      </c>
      <c r="C43" s="73">
        <f>C37+C38*(C36-C37)</f>
        <v>4895</v>
      </c>
      <c r="D43" s="52"/>
    </row>
    <row r="44" spans="2:5" ht="21" x14ac:dyDescent="0.4">
      <c r="B44" s="55" t="s">
        <v>55</v>
      </c>
      <c r="C44" s="73">
        <f>C36-C43</f>
        <v>105</v>
      </c>
      <c r="D44" s="52"/>
    </row>
    <row r="45" spans="2:5" ht="21" x14ac:dyDescent="0.4">
      <c r="B45" s="55" t="s">
        <v>82</v>
      </c>
      <c r="C45" s="73">
        <f>C36-C37</f>
        <v>120</v>
      </c>
      <c r="D45" s="52"/>
    </row>
    <row r="46" spans="2:5" ht="21" x14ac:dyDescent="0.4">
      <c r="B46" s="21"/>
      <c r="C46" s="21"/>
      <c r="D46" s="21"/>
    </row>
    <row r="47" spans="2:5" ht="21" x14ac:dyDescent="0.4">
      <c r="B47" s="21"/>
      <c r="C47" s="21"/>
      <c r="D47" s="21"/>
    </row>
    <row r="48" spans="2:5" ht="21" x14ac:dyDescent="0.4">
      <c r="B48" s="55" t="s">
        <v>75</v>
      </c>
      <c r="C48" s="74">
        <f>C45/C37</f>
        <v>2.4590163934426229E-2</v>
      </c>
      <c r="D48" s="52"/>
      <c r="E48" s="21"/>
    </row>
    <row r="49" spans="2:5" ht="21" x14ac:dyDescent="0.4">
      <c r="B49" s="55" t="s">
        <v>76</v>
      </c>
      <c r="C49" s="76">
        <f>C48/(C35-C34)</f>
        <v>2.7022158169699153E-4</v>
      </c>
      <c r="D49" s="52" t="s">
        <v>9</v>
      </c>
      <c r="E49" s="21"/>
    </row>
    <row r="50" spans="2:5" ht="21" x14ac:dyDescent="0.4">
      <c r="B50" s="55" t="s">
        <v>77</v>
      </c>
      <c r="C50" s="74">
        <f>C44/C43</f>
        <v>2.1450459652706845E-2</v>
      </c>
      <c r="D50" s="52"/>
      <c r="E50" s="21"/>
    </row>
    <row r="51" spans="2:5" ht="21" x14ac:dyDescent="0.4">
      <c r="B51" s="55" t="s">
        <v>78</v>
      </c>
      <c r="C51" s="76">
        <f>C50/(C35-C34)</f>
        <v>2.3571933684293236E-4</v>
      </c>
      <c r="D51" s="52" t="s">
        <v>9</v>
      </c>
      <c r="E51" s="21"/>
    </row>
    <row r="52" spans="2:5" ht="21" x14ac:dyDescent="0.4">
      <c r="B52" s="21"/>
      <c r="C52" s="21"/>
      <c r="D52" s="21"/>
      <c r="E52" s="21"/>
    </row>
    <row r="53" spans="2:5" ht="21" x14ac:dyDescent="0.4">
      <c r="B53" s="55" t="s">
        <v>38</v>
      </c>
      <c r="C53" s="52"/>
      <c r="D53" s="52"/>
      <c r="E53" s="21"/>
    </row>
    <row r="54" spans="2:5" ht="21" x14ac:dyDescent="0.4">
      <c r="B54" s="55" t="s">
        <v>79</v>
      </c>
      <c r="C54" s="75">
        <f>(1+C45/C37)^(C39/(C35-C34))-1</f>
        <v>0.10234278875955805</v>
      </c>
      <c r="D54" s="52"/>
      <c r="E54" s="21"/>
    </row>
    <row r="55" spans="2:5" ht="21" x14ac:dyDescent="0.4">
      <c r="B55" s="55" t="s">
        <v>76</v>
      </c>
      <c r="C55" s="76">
        <f>LN(1+C54)</f>
        <v>9.7437722941771887E-2</v>
      </c>
      <c r="D55" s="52" t="s">
        <v>14</v>
      </c>
      <c r="E55" s="21"/>
    </row>
    <row r="56" spans="2:5" ht="21" x14ac:dyDescent="0.4">
      <c r="B56" s="55" t="s">
        <v>80</v>
      </c>
      <c r="C56" s="75">
        <f>(1+C44/C43)^(C39/(C35-C34))-1</f>
        <v>8.885618377514759E-2</v>
      </c>
      <c r="D56" s="52"/>
      <c r="E56" s="21"/>
    </row>
    <row r="57" spans="2:5" ht="21" x14ac:dyDescent="0.4">
      <c r="B57" s="55" t="s">
        <v>78</v>
      </c>
      <c r="C57" s="76">
        <f>LN(1+C56)</f>
        <v>8.512777258070002E-2</v>
      </c>
      <c r="D57" s="52" t="s">
        <v>14</v>
      </c>
      <c r="E57" s="21"/>
    </row>
    <row r="59" spans="2:5" ht="21" x14ac:dyDescent="0.4">
      <c r="B59" s="55" t="s">
        <v>40</v>
      </c>
      <c r="C59" s="41"/>
      <c r="D59" s="41"/>
    </row>
    <row r="60" spans="2:5" ht="21" x14ac:dyDescent="0.4">
      <c r="B60" s="55" t="s">
        <v>79</v>
      </c>
      <c r="C60" s="53">
        <f>C45/C37*C39/(C35-C34)</f>
        <v>9.86308773194019E-2</v>
      </c>
      <c r="D60" s="41"/>
    </row>
    <row r="61" spans="2:5" ht="21" x14ac:dyDescent="0.4">
      <c r="B61" s="55" t="s">
        <v>80</v>
      </c>
      <c r="C61" s="53">
        <f>C44/C43*C39/(C35-C34)</f>
        <v>8.6037557947670318E-2</v>
      </c>
      <c r="D61" s="41"/>
    </row>
  </sheetData>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5AF784-DEA4-4984-BB9D-30E0D54B3BAC}">
  <sheetPr published="0"/>
  <dimension ref="B2:K15"/>
  <sheetViews>
    <sheetView workbookViewId="0">
      <selection activeCell="B2" sqref="B2:K13"/>
    </sheetView>
  </sheetViews>
  <sheetFormatPr defaultRowHeight="14.4" x14ac:dyDescent="0.3"/>
  <cols>
    <col min="2" max="2" width="21.33203125" customWidth="1"/>
    <col min="3" max="3" width="19.6640625" customWidth="1"/>
    <col min="6" max="6" width="10.88671875" bestFit="1" customWidth="1"/>
  </cols>
  <sheetData>
    <row r="2" spans="2:11" ht="15" customHeight="1" x14ac:dyDescent="0.3">
      <c r="B2" s="148" t="s">
        <v>187</v>
      </c>
      <c r="C2" s="148"/>
      <c r="D2" s="148"/>
      <c r="E2" s="148"/>
      <c r="F2" s="148"/>
      <c r="G2" s="148"/>
      <c r="H2" s="148"/>
      <c r="I2" s="148"/>
      <c r="J2" s="148"/>
      <c r="K2" s="148"/>
    </row>
    <row r="3" spans="2:11" ht="15" customHeight="1" x14ac:dyDescent="0.3">
      <c r="B3" s="148"/>
      <c r="C3" s="148"/>
      <c r="D3" s="148"/>
      <c r="E3" s="148"/>
      <c r="F3" s="148"/>
      <c r="G3" s="148"/>
      <c r="H3" s="148"/>
      <c r="I3" s="148"/>
      <c r="J3" s="148"/>
      <c r="K3" s="148"/>
    </row>
    <row r="4" spans="2:11" ht="15" customHeight="1" x14ac:dyDescent="0.3">
      <c r="B4" s="148"/>
      <c r="C4" s="148"/>
      <c r="D4" s="148"/>
      <c r="E4" s="148"/>
      <c r="F4" s="148"/>
      <c r="G4" s="148"/>
      <c r="H4" s="148"/>
      <c r="I4" s="148"/>
      <c r="J4" s="148"/>
      <c r="K4" s="148"/>
    </row>
    <row r="5" spans="2:11" ht="15" customHeight="1" x14ac:dyDescent="0.3">
      <c r="B5" s="148"/>
      <c r="C5" s="148"/>
      <c r="D5" s="148"/>
      <c r="E5" s="148"/>
      <c r="F5" s="148"/>
      <c r="G5" s="148"/>
      <c r="H5" s="148"/>
      <c r="I5" s="148"/>
      <c r="J5" s="148"/>
      <c r="K5" s="148"/>
    </row>
    <row r="6" spans="2:11" ht="15" customHeight="1" x14ac:dyDescent="0.3">
      <c r="B6" s="148"/>
      <c r="C6" s="148"/>
      <c r="D6" s="148"/>
      <c r="E6" s="148"/>
      <c r="F6" s="148"/>
      <c r="G6" s="148"/>
      <c r="H6" s="148"/>
      <c r="I6" s="148"/>
      <c r="J6" s="148"/>
      <c r="K6" s="148"/>
    </row>
    <row r="7" spans="2:11" ht="15" customHeight="1" x14ac:dyDescent="0.3">
      <c r="B7" s="148"/>
      <c r="C7" s="148"/>
      <c r="D7" s="148"/>
      <c r="E7" s="148"/>
      <c r="F7" s="148"/>
      <c r="G7" s="148"/>
      <c r="H7" s="148"/>
      <c r="I7" s="148"/>
      <c r="J7" s="148"/>
      <c r="K7" s="148"/>
    </row>
    <row r="8" spans="2:11" ht="15" customHeight="1" x14ac:dyDescent="0.3">
      <c r="B8" s="148"/>
      <c r="C8" s="148"/>
      <c r="D8" s="148"/>
      <c r="E8" s="148"/>
      <c r="F8" s="148"/>
      <c r="G8" s="148"/>
      <c r="H8" s="148"/>
      <c r="I8" s="148"/>
      <c r="J8" s="148"/>
      <c r="K8" s="148"/>
    </row>
    <row r="9" spans="2:11" ht="15" customHeight="1" x14ac:dyDescent="0.3">
      <c r="B9" s="148"/>
      <c r="C9" s="148"/>
      <c r="D9" s="148"/>
      <c r="E9" s="148"/>
      <c r="F9" s="148"/>
      <c r="G9" s="148"/>
      <c r="H9" s="148"/>
      <c r="I9" s="148"/>
      <c r="J9" s="148"/>
      <c r="K9" s="148"/>
    </row>
    <row r="10" spans="2:11" ht="15" customHeight="1" x14ac:dyDescent="0.3">
      <c r="B10" s="148"/>
      <c r="C10" s="148"/>
      <c r="D10" s="148"/>
      <c r="E10" s="148"/>
      <c r="F10" s="148"/>
      <c r="G10" s="148"/>
      <c r="H10" s="148"/>
      <c r="I10" s="148"/>
      <c r="J10" s="148"/>
      <c r="K10" s="148"/>
    </row>
    <row r="11" spans="2:11" ht="15" customHeight="1" x14ac:dyDescent="0.3">
      <c r="B11" s="148"/>
      <c r="C11" s="148"/>
      <c r="D11" s="148"/>
      <c r="E11" s="148"/>
      <c r="F11" s="148"/>
      <c r="G11" s="148"/>
      <c r="H11" s="148"/>
      <c r="I11" s="148"/>
      <c r="J11" s="148"/>
      <c r="K11" s="148"/>
    </row>
    <row r="12" spans="2:11" ht="15" customHeight="1" x14ac:dyDescent="0.3">
      <c r="B12" s="148"/>
      <c r="C12" s="148"/>
      <c r="D12" s="148"/>
      <c r="E12" s="148"/>
      <c r="F12" s="148"/>
      <c r="G12" s="148"/>
      <c r="H12" s="148"/>
      <c r="I12" s="148"/>
      <c r="J12" s="148"/>
      <c r="K12" s="148"/>
    </row>
    <row r="13" spans="2:11" ht="15" customHeight="1" x14ac:dyDescent="0.3">
      <c r="B13" s="148"/>
      <c r="C13" s="148"/>
      <c r="D13" s="148"/>
      <c r="E13" s="148"/>
      <c r="F13" s="148"/>
      <c r="G13" s="148"/>
      <c r="H13" s="148"/>
      <c r="I13" s="148"/>
      <c r="J13" s="148"/>
      <c r="K13" s="148"/>
    </row>
    <row r="14" spans="2:11" ht="20.100000000000001" customHeight="1" x14ac:dyDescent="0.3"/>
    <row r="15" spans="2:11" ht="20.100000000000001" customHeight="1" x14ac:dyDescent="0.3"/>
  </sheetData>
  <mergeCells count="1">
    <mergeCell ref="B2:K1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oglio19"/>
  <dimension ref="A25:F48"/>
  <sheetViews>
    <sheetView zoomScale="90" zoomScaleNormal="90" workbookViewId="0">
      <selection activeCell="F39" sqref="F39"/>
    </sheetView>
  </sheetViews>
  <sheetFormatPr defaultColWidth="9.109375" defaultRowHeight="18" x14ac:dyDescent="0.35"/>
  <cols>
    <col min="1" max="1" width="3.88671875" style="4" customWidth="1"/>
    <col min="2" max="2" width="25.88671875" style="4" bestFit="1" customWidth="1"/>
    <col min="3" max="3" width="13" style="4" bestFit="1" customWidth="1"/>
    <col min="4" max="4" width="17.44140625" style="4" bestFit="1" customWidth="1"/>
    <col min="5" max="5" width="15" style="4" bestFit="1" customWidth="1"/>
    <col min="6" max="6" width="66.5546875" style="4" bestFit="1" customWidth="1"/>
    <col min="7" max="7" width="14.44140625" style="4" customWidth="1"/>
    <col min="8" max="8" width="29.88671875" style="4" customWidth="1"/>
    <col min="9" max="16384" width="9.109375" style="4"/>
  </cols>
  <sheetData>
    <row r="25" spans="1:6" x14ac:dyDescent="0.35">
      <c r="F25" s="1"/>
    </row>
    <row r="26" spans="1:6" x14ac:dyDescent="0.35">
      <c r="B26" s="15" t="s">
        <v>0</v>
      </c>
      <c r="C26" s="16"/>
      <c r="D26" s="16"/>
    </row>
    <row r="27" spans="1:6" x14ac:dyDescent="0.35">
      <c r="A27" s="1"/>
      <c r="B27" s="15" t="s">
        <v>56</v>
      </c>
      <c r="C27" s="16"/>
      <c r="D27" s="16"/>
    </row>
    <row r="28" spans="1:6" x14ac:dyDescent="0.35">
      <c r="B28" s="19" t="s">
        <v>23</v>
      </c>
      <c r="C28" s="18">
        <v>0</v>
      </c>
      <c r="D28" s="18"/>
    </row>
    <row r="29" spans="1:6" x14ac:dyDescent="0.35">
      <c r="B29" s="19" t="s">
        <v>24</v>
      </c>
      <c r="C29" s="18">
        <v>20</v>
      </c>
      <c r="D29" s="20" t="s">
        <v>2</v>
      </c>
    </row>
    <row r="30" spans="1:6" x14ac:dyDescent="0.35">
      <c r="B30" s="19" t="s">
        <v>36</v>
      </c>
      <c r="C30" s="18">
        <v>99.71</v>
      </c>
      <c r="D30" s="18"/>
    </row>
    <row r="31" spans="1:6" x14ac:dyDescent="0.35">
      <c r="B31" s="19" t="s">
        <v>41</v>
      </c>
      <c r="C31" s="18">
        <f>100</f>
        <v>100</v>
      </c>
      <c r="D31" s="18"/>
    </row>
    <row r="32" spans="1:6" x14ac:dyDescent="0.35">
      <c r="B32" s="19" t="s">
        <v>51</v>
      </c>
      <c r="C32" s="18">
        <f>12.5%</f>
        <v>0.125</v>
      </c>
      <c r="D32" s="18"/>
    </row>
    <row r="33" spans="2:4" x14ac:dyDescent="0.35">
      <c r="B33" s="19" t="s">
        <v>52</v>
      </c>
      <c r="C33" s="18">
        <v>365</v>
      </c>
      <c r="D33" s="18"/>
    </row>
    <row r="36" spans="2:4" x14ac:dyDescent="0.35">
      <c r="B36" s="42" t="s">
        <v>53</v>
      </c>
      <c r="C36" s="49">
        <f>C31-C30</f>
        <v>0.29000000000000625</v>
      </c>
      <c r="D36" s="47"/>
    </row>
    <row r="37" spans="2:4" x14ac:dyDescent="0.35">
      <c r="B37" s="42" t="s">
        <v>54</v>
      </c>
      <c r="C37" s="49">
        <f>C30+C32*C36</f>
        <v>99.746249999999989</v>
      </c>
      <c r="D37" s="47"/>
    </row>
    <row r="38" spans="2:4" x14ac:dyDescent="0.35">
      <c r="B38" s="42" t="s">
        <v>55</v>
      </c>
      <c r="C38" s="49">
        <f>C31-C37</f>
        <v>0.2537500000000108</v>
      </c>
      <c r="D38" s="47"/>
    </row>
    <row r="40" spans="2:4" x14ac:dyDescent="0.35">
      <c r="B40" s="135" t="s">
        <v>102</v>
      </c>
      <c r="C40" s="136"/>
      <c r="D40" s="137"/>
    </row>
    <row r="41" spans="2:4" x14ac:dyDescent="0.35">
      <c r="B41" s="42" t="s">
        <v>12</v>
      </c>
      <c r="C41" s="50">
        <f>(1+C38/C37)^(C33/C29)-1</f>
        <v>4.7460045748293656E-2</v>
      </c>
      <c r="D41" s="47"/>
    </row>
    <row r="42" spans="2:4" x14ac:dyDescent="0.35">
      <c r="B42" s="42" t="s">
        <v>13</v>
      </c>
      <c r="C42" s="47">
        <f>LN(1+C41)</f>
        <v>4.6368229602983507E-2</v>
      </c>
      <c r="D42" s="46" t="s">
        <v>14</v>
      </c>
    </row>
    <row r="43" spans="2:4" x14ac:dyDescent="0.35">
      <c r="B43" s="42" t="s">
        <v>15</v>
      </c>
      <c r="C43" s="50">
        <f>(1+C41)^(1/2)-1</f>
        <v>2.3454955407561373E-2</v>
      </c>
      <c r="D43" s="47"/>
    </row>
    <row r="44" spans="2:4" x14ac:dyDescent="0.35">
      <c r="B44" s="42" t="s">
        <v>13</v>
      </c>
      <c r="C44" s="47">
        <f>LN(1+C43)</f>
        <v>2.318411480149165E-2</v>
      </c>
      <c r="D44" s="46" t="s">
        <v>16</v>
      </c>
    </row>
    <row r="46" spans="2:4" x14ac:dyDescent="0.35">
      <c r="B46" s="135" t="s">
        <v>103</v>
      </c>
      <c r="C46" s="136"/>
      <c r="D46" s="137"/>
    </row>
    <row r="47" spans="2:4" x14ac:dyDescent="0.35">
      <c r="B47" s="42" t="s">
        <v>12</v>
      </c>
      <c r="C47" s="50">
        <f>C38/C37*C33/C29</f>
        <v>4.6427183979349571E-2</v>
      </c>
      <c r="D47" s="47"/>
    </row>
    <row r="48" spans="2:4" x14ac:dyDescent="0.35">
      <c r="B48" s="42" t="s">
        <v>15</v>
      </c>
      <c r="C48" s="50">
        <f>C47/2</f>
        <v>2.3213591989674785E-2</v>
      </c>
      <c r="D48" s="47"/>
    </row>
  </sheetData>
  <mergeCells count="2">
    <mergeCell ref="B40:D40"/>
    <mergeCell ref="B46:D46"/>
  </mergeCells>
  <phoneticPr fontId="8" type="noConversion"/>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5"/>
  <dimension ref="B2:M34"/>
  <sheetViews>
    <sheetView zoomScaleNormal="100" workbookViewId="0">
      <selection activeCell="H25" sqref="H25"/>
    </sheetView>
  </sheetViews>
  <sheetFormatPr defaultRowHeight="14.4" x14ac:dyDescent="0.3"/>
  <cols>
    <col min="3" max="3" width="16.5546875" bestFit="1" customWidth="1"/>
    <col min="4" max="4" width="18" bestFit="1" customWidth="1"/>
  </cols>
  <sheetData>
    <row r="2" spans="2:13" x14ac:dyDescent="0.3">
      <c r="B2" s="138" t="s">
        <v>138</v>
      </c>
      <c r="C2" s="139"/>
      <c r="D2" s="139"/>
      <c r="E2" s="139"/>
      <c r="F2" s="139"/>
      <c r="G2" s="139"/>
      <c r="H2" s="139"/>
      <c r="I2" s="139"/>
      <c r="J2" s="139"/>
      <c r="K2" s="139"/>
      <c r="L2" s="139"/>
      <c r="M2" s="139"/>
    </row>
    <row r="3" spans="2:13" x14ac:dyDescent="0.3">
      <c r="B3" s="139"/>
      <c r="C3" s="139"/>
      <c r="D3" s="139"/>
      <c r="E3" s="139"/>
      <c r="F3" s="139"/>
      <c r="G3" s="139"/>
      <c r="H3" s="139"/>
      <c r="I3" s="139"/>
      <c r="J3" s="139"/>
      <c r="K3" s="139"/>
      <c r="L3" s="139"/>
      <c r="M3" s="139"/>
    </row>
    <row r="4" spans="2:13" x14ac:dyDescent="0.3">
      <c r="B4" s="139"/>
      <c r="C4" s="139"/>
      <c r="D4" s="139"/>
      <c r="E4" s="139"/>
      <c r="F4" s="139"/>
      <c r="G4" s="139"/>
      <c r="H4" s="139"/>
      <c r="I4" s="139"/>
      <c r="J4" s="139"/>
      <c r="K4" s="139"/>
      <c r="L4" s="139"/>
      <c r="M4" s="139"/>
    </row>
    <row r="5" spans="2:13" x14ac:dyDescent="0.3">
      <c r="B5" s="139"/>
      <c r="C5" s="139"/>
      <c r="D5" s="139"/>
      <c r="E5" s="139"/>
      <c r="F5" s="139"/>
      <c r="G5" s="139"/>
      <c r="H5" s="139"/>
      <c r="I5" s="139"/>
      <c r="J5" s="139"/>
      <c r="K5" s="139"/>
      <c r="L5" s="139"/>
      <c r="M5" s="139"/>
    </row>
    <row r="6" spans="2:13" x14ac:dyDescent="0.3">
      <c r="B6" s="139"/>
      <c r="C6" s="139"/>
      <c r="D6" s="139"/>
      <c r="E6" s="139"/>
      <c r="F6" s="139"/>
      <c r="G6" s="139"/>
      <c r="H6" s="139"/>
      <c r="I6" s="139"/>
      <c r="J6" s="139"/>
      <c r="K6" s="139"/>
      <c r="L6" s="139"/>
      <c r="M6" s="139"/>
    </row>
    <row r="7" spans="2:13" x14ac:dyDescent="0.3">
      <c r="B7" s="139"/>
      <c r="C7" s="139"/>
      <c r="D7" s="139"/>
      <c r="E7" s="139"/>
      <c r="F7" s="139"/>
      <c r="G7" s="139"/>
      <c r="H7" s="139"/>
      <c r="I7" s="139"/>
      <c r="J7" s="139"/>
      <c r="K7" s="139"/>
      <c r="L7" s="139"/>
      <c r="M7" s="139"/>
    </row>
    <row r="8" spans="2:13" x14ac:dyDescent="0.3">
      <c r="B8" s="139"/>
      <c r="C8" s="139"/>
      <c r="D8" s="139"/>
      <c r="E8" s="139"/>
      <c r="F8" s="139"/>
      <c r="G8" s="139"/>
      <c r="H8" s="139"/>
      <c r="I8" s="139"/>
      <c r="J8" s="139"/>
      <c r="K8" s="139"/>
      <c r="L8" s="139"/>
      <c r="M8" s="139"/>
    </row>
    <row r="9" spans="2:13" x14ac:dyDescent="0.3">
      <c r="B9" s="139"/>
      <c r="C9" s="139"/>
      <c r="D9" s="139"/>
      <c r="E9" s="139"/>
      <c r="F9" s="139"/>
      <c r="G9" s="139"/>
      <c r="H9" s="139"/>
      <c r="I9" s="139"/>
      <c r="J9" s="139"/>
      <c r="K9" s="139"/>
      <c r="L9" s="139"/>
      <c r="M9" s="139"/>
    </row>
    <row r="10" spans="2:13" x14ac:dyDescent="0.3">
      <c r="B10" s="139"/>
      <c r="C10" s="139"/>
      <c r="D10" s="139"/>
      <c r="E10" s="139"/>
      <c r="F10" s="139"/>
      <c r="G10" s="139"/>
      <c r="H10" s="139"/>
      <c r="I10" s="139"/>
      <c r="J10" s="139"/>
      <c r="K10" s="139"/>
      <c r="L10" s="139"/>
      <c r="M10" s="139"/>
    </row>
    <row r="11" spans="2:13" x14ac:dyDescent="0.3">
      <c r="B11" s="139"/>
      <c r="C11" s="139"/>
      <c r="D11" s="139"/>
      <c r="E11" s="139"/>
      <c r="F11" s="139"/>
      <c r="G11" s="139"/>
      <c r="H11" s="139"/>
      <c r="I11" s="139"/>
      <c r="J11" s="139"/>
      <c r="K11" s="139"/>
      <c r="L11" s="139"/>
      <c r="M11" s="139"/>
    </row>
    <row r="12" spans="2:13" x14ac:dyDescent="0.3">
      <c r="B12" s="139"/>
      <c r="C12" s="139"/>
      <c r="D12" s="139"/>
      <c r="E12" s="139"/>
      <c r="F12" s="139"/>
      <c r="G12" s="139"/>
      <c r="H12" s="139"/>
      <c r="I12" s="139"/>
      <c r="J12" s="139"/>
      <c r="K12" s="139"/>
      <c r="L12" s="139"/>
      <c r="M12" s="139"/>
    </row>
    <row r="15" spans="2:13" ht="21" x14ac:dyDescent="0.4">
      <c r="C15" s="26" t="s">
        <v>139</v>
      </c>
      <c r="D15" s="100">
        <v>10000</v>
      </c>
      <c r="E15" s="21"/>
      <c r="F15" s="21"/>
      <c r="G15" s="21"/>
      <c r="H15" s="21"/>
      <c r="I15" s="21"/>
      <c r="J15" s="21"/>
      <c r="K15" s="21"/>
      <c r="L15" s="21"/>
    </row>
    <row r="16" spans="2:13" ht="21" x14ac:dyDescent="0.4">
      <c r="C16" s="26" t="s">
        <v>1</v>
      </c>
      <c r="D16" s="25">
        <f>1+3/12</f>
        <v>1.25</v>
      </c>
      <c r="E16" s="21"/>
      <c r="F16" s="21"/>
      <c r="G16" s="21"/>
      <c r="H16" s="21"/>
      <c r="I16" s="21"/>
      <c r="J16" s="21"/>
      <c r="K16" s="21"/>
      <c r="L16" s="21"/>
    </row>
    <row r="17" spans="3:12" ht="21" x14ac:dyDescent="0.4">
      <c r="C17" s="26" t="s">
        <v>57</v>
      </c>
      <c r="D17" s="100">
        <v>840</v>
      </c>
      <c r="E17" s="21"/>
      <c r="F17" s="21"/>
      <c r="G17" s="21"/>
      <c r="H17" s="21"/>
      <c r="I17" s="21"/>
      <c r="J17" s="21"/>
      <c r="K17" s="21"/>
      <c r="L17" s="21"/>
    </row>
    <row r="18" spans="3:12" ht="21" x14ac:dyDescent="0.4">
      <c r="C18" s="26"/>
      <c r="D18" s="25"/>
      <c r="E18" s="21"/>
      <c r="F18" s="21"/>
      <c r="G18" s="21"/>
      <c r="H18" s="21"/>
      <c r="I18" s="21"/>
      <c r="J18" s="21"/>
      <c r="K18" s="21"/>
      <c r="L18" s="21"/>
    </row>
    <row r="19" spans="3:12" ht="21" x14ac:dyDescent="0.4">
      <c r="C19" s="26" t="s">
        <v>67</v>
      </c>
      <c r="D19" s="101">
        <f>7.1%</f>
        <v>7.0999999999999994E-2</v>
      </c>
      <c r="E19" s="21"/>
      <c r="F19" s="21"/>
      <c r="G19" s="21"/>
      <c r="H19" s="21"/>
      <c r="I19" s="21"/>
      <c r="J19" s="21"/>
      <c r="K19" s="21"/>
      <c r="L19" s="21"/>
    </row>
    <row r="20" spans="3:12" ht="21" x14ac:dyDescent="0.4">
      <c r="C20" s="21"/>
      <c r="D20" s="21"/>
      <c r="E20" s="21"/>
      <c r="F20" s="21"/>
      <c r="G20" s="21"/>
      <c r="H20" s="21"/>
      <c r="I20" s="21"/>
      <c r="J20" s="21"/>
      <c r="K20" s="21"/>
      <c r="L20" s="21"/>
    </row>
    <row r="21" spans="3:12" ht="21" x14ac:dyDescent="0.4">
      <c r="C21" s="21"/>
      <c r="D21" s="21"/>
      <c r="E21" s="21"/>
      <c r="F21" s="21"/>
      <c r="G21" s="21"/>
      <c r="H21" s="21"/>
      <c r="I21" s="21"/>
      <c r="J21" s="21"/>
      <c r="K21" s="21"/>
      <c r="L21" s="21"/>
    </row>
    <row r="22" spans="3:12" ht="21" x14ac:dyDescent="0.4">
      <c r="C22" s="52" t="s">
        <v>83</v>
      </c>
      <c r="D22" s="102">
        <f>D15+D17</f>
        <v>10840</v>
      </c>
      <c r="E22" s="21"/>
      <c r="F22" s="21"/>
      <c r="G22" s="21"/>
      <c r="H22" s="21"/>
      <c r="I22" s="21"/>
      <c r="J22" s="21"/>
      <c r="K22" s="21"/>
      <c r="L22" s="21"/>
    </row>
    <row r="23" spans="3:12" ht="21" x14ac:dyDescent="0.4">
      <c r="C23" s="52" t="s">
        <v>105</v>
      </c>
      <c r="D23" s="103">
        <f>D17/D15</f>
        <v>8.4000000000000005E-2</v>
      </c>
      <c r="E23" s="21"/>
      <c r="F23" s="21"/>
      <c r="G23" s="21"/>
      <c r="H23" s="21"/>
      <c r="I23" s="21"/>
      <c r="J23" s="21"/>
      <c r="K23" s="21"/>
      <c r="L23" s="21"/>
    </row>
    <row r="24" spans="3:12" ht="21" x14ac:dyDescent="0.4">
      <c r="C24" s="52" t="s">
        <v>68</v>
      </c>
      <c r="D24" s="103">
        <f>(D22/D15)^(1/D16)-1</f>
        <v>6.6653654774182947E-2</v>
      </c>
      <c r="E24" s="21"/>
      <c r="F24" s="21"/>
      <c r="G24" s="21"/>
      <c r="H24" s="21"/>
      <c r="I24" s="21"/>
      <c r="J24" s="21"/>
      <c r="K24" s="21"/>
      <c r="L24" s="21"/>
    </row>
    <row r="25" spans="3:12" ht="21" x14ac:dyDescent="0.4">
      <c r="C25" s="21"/>
      <c r="D25" s="21"/>
      <c r="E25" s="21"/>
      <c r="F25" s="21"/>
      <c r="G25" s="21"/>
      <c r="H25" s="21"/>
      <c r="I25" s="21"/>
      <c r="J25" s="21"/>
      <c r="K25" s="21"/>
      <c r="L25" s="21"/>
    </row>
    <row r="26" spans="3:12" ht="21" x14ac:dyDescent="0.4">
      <c r="C26" s="52" t="s">
        <v>140</v>
      </c>
      <c r="D26" s="73">
        <f>D15*(1+D19*D16)</f>
        <v>10887.500000000002</v>
      </c>
      <c r="E26" s="21"/>
      <c r="F26" s="21"/>
      <c r="G26" s="21"/>
      <c r="H26" s="21"/>
      <c r="I26" s="21"/>
      <c r="J26" s="21"/>
      <c r="K26" s="21"/>
      <c r="L26" s="21"/>
    </row>
    <row r="27" spans="3:12" ht="21" x14ac:dyDescent="0.4">
      <c r="C27" s="52" t="s">
        <v>141</v>
      </c>
      <c r="D27" s="103">
        <f>(D26-D15)/D15</f>
        <v>8.8750000000000176E-2</v>
      </c>
      <c r="E27" s="21"/>
      <c r="F27" s="21"/>
      <c r="G27" s="21"/>
      <c r="H27" s="21"/>
      <c r="I27" s="21"/>
      <c r="J27" s="21"/>
      <c r="K27" s="21"/>
      <c r="L27" s="21"/>
    </row>
    <row r="28" spans="3:12" ht="21" x14ac:dyDescent="0.4">
      <c r="C28" s="52" t="s">
        <v>142</v>
      </c>
      <c r="D28" s="103">
        <f>(D26/D15)^(1/D16)-1</f>
        <v>7.0391210934408033E-2</v>
      </c>
      <c r="E28" s="21"/>
      <c r="F28" s="21"/>
      <c r="G28" s="21"/>
      <c r="H28" s="21"/>
      <c r="I28" s="21"/>
      <c r="J28" s="21"/>
      <c r="K28" s="21"/>
      <c r="L28" s="21"/>
    </row>
    <row r="29" spans="3:12" ht="21" x14ac:dyDescent="0.4">
      <c r="C29" s="21"/>
      <c r="D29" s="21"/>
      <c r="E29" s="21"/>
      <c r="F29" s="21"/>
      <c r="G29" s="21"/>
      <c r="H29" s="21"/>
      <c r="I29" s="21"/>
      <c r="J29" s="21"/>
      <c r="K29" s="21"/>
      <c r="L29" s="21"/>
    </row>
    <row r="30" spans="3:12" ht="21" customHeight="1" x14ac:dyDescent="0.3">
      <c r="C30" s="140" t="s">
        <v>143</v>
      </c>
      <c r="D30" s="140"/>
      <c r="E30" s="140"/>
      <c r="F30" s="140"/>
      <c r="G30" s="140"/>
      <c r="H30" s="140"/>
      <c r="I30" s="140"/>
      <c r="J30" s="140"/>
      <c r="K30" s="140"/>
      <c r="L30" s="140"/>
    </row>
    <row r="31" spans="3:12" ht="21" customHeight="1" x14ac:dyDescent="0.3">
      <c r="C31" s="140"/>
      <c r="D31" s="140"/>
      <c r="E31" s="140"/>
      <c r="F31" s="140"/>
      <c r="G31" s="140"/>
      <c r="H31" s="140"/>
      <c r="I31" s="140"/>
      <c r="J31" s="140"/>
      <c r="K31" s="140"/>
      <c r="L31" s="140"/>
    </row>
    <row r="32" spans="3:12" ht="21" x14ac:dyDescent="0.4">
      <c r="C32" s="21"/>
      <c r="D32" s="21"/>
      <c r="E32" s="21"/>
      <c r="F32" s="21"/>
      <c r="G32" s="21"/>
      <c r="H32" s="21"/>
      <c r="I32" s="21"/>
      <c r="J32" s="21"/>
      <c r="K32" s="21"/>
      <c r="L32" s="21"/>
    </row>
    <row r="33" spans="3:12" ht="21" x14ac:dyDescent="0.4">
      <c r="C33" s="21"/>
      <c r="D33" s="21"/>
      <c r="E33" s="21"/>
      <c r="F33" s="21"/>
      <c r="G33" s="21"/>
      <c r="H33" s="21"/>
      <c r="I33" s="21"/>
      <c r="J33" s="21"/>
      <c r="K33" s="21"/>
      <c r="L33" s="21"/>
    </row>
    <row r="34" spans="3:12" ht="21" x14ac:dyDescent="0.4">
      <c r="C34" s="21"/>
      <c r="D34" s="21"/>
      <c r="E34" s="21"/>
      <c r="F34" s="21"/>
      <c r="G34" s="21"/>
      <c r="H34" s="21"/>
      <c r="I34" s="21"/>
      <c r="J34" s="21"/>
      <c r="K34" s="21"/>
      <c r="L34" s="21"/>
    </row>
  </sheetData>
  <mergeCells count="2">
    <mergeCell ref="B2:M12"/>
    <mergeCell ref="C30:L31"/>
  </mergeCells>
  <pageMargins left="0.7" right="0.7" top="0.75" bottom="0.75" header="0.3" footer="0.3"/>
  <pageSetup paperSize="9" scale="4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6"/>
  <dimension ref="B2:P47"/>
  <sheetViews>
    <sheetView zoomScale="80" zoomScaleNormal="80" workbookViewId="0">
      <selection activeCell="D30" sqref="D30"/>
    </sheetView>
  </sheetViews>
  <sheetFormatPr defaultColWidth="9.109375" defaultRowHeight="21" x14ac:dyDescent="0.4"/>
  <cols>
    <col min="1" max="2" width="9.109375" style="21"/>
    <col min="3" max="3" width="19.6640625" style="21" bestFit="1" customWidth="1"/>
    <col min="4" max="4" width="14" style="21" bestFit="1" customWidth="1"/>
    <col min="5" max="5" width="16.6640625" style="21" bestFit="1" customWidth="1"/>
    <col min="6" max="6" width="9.109375" style="21"/>
    <col min="7" max="7" width="12.33203125" style="21" bestFit="1" customWidth="1"/>
    <col min="8" max="8" width="14" style="21" bestFit="1" customWidth="1"/>
    <col min="9" max="9" width="16.6640625" style="21" bestFit="1" customWidth="1"/>
    <col min="10" max="10" width="9.109375" style="21"/>
    <col min="11" max="11" width="12.33203125" style="21" bestFit="1" customWidth="1"/>
    <col min="12" max="12" width="14" style="21" bestFit="1" customWidth="1"/>
    <col min="13" max="13" width="18.88671875" style="21" bestFit="1" customWidth="1"/>
    <col min="14" max="16384" width="9.109375" style="21"/>
  </cols>
  <sheetData>
    <row r="2" spans="2:16" ht="15" customHeight="1" x14ac:dyDescent="0.4">
      <c r="B2" s="138" t="s">
        <v>144</v>
      </c>
      <c r="C2" s="138"/>
      <c r="D2" s="138"/>
      <c r="E2" s="138"/>
      <c r="F2" s="138"/>
      <c r="G2" s="138"/>
      <c r="H2" s="138"/>
      <c r="I2" s="138"/>
      <c r="J2" s="138"/>
      <c r="K2" s="138"/>
      <c r="L2" s="138"/>
      <c r="M2" s="138"/>
      <c r="N2" s="138"/>
      <c r="O2" s="138"/>
      <c r="P2" s="138"/>
    </row>
    <row r="3" spans="2:16" ht="15" customHeight="1" x14ac:dyDescent="0.4">
      <c r="B3" s="138"/>
      <c r="C3" s="138"/>
      <c r="D3" s="138"/>
      <c r="E3" s="138"/>
      <c r="F3" s="138"/>
      <c r="G3" s="138"/>
      <c r="H3" s="138"/>
      <c r="I3" s="138"/>
      <c r="J3" s="138"/>
      <c r="K3" s="138"/>
      <c r="L3" s="138"/>
      <c r="M3" s="138"/>
      <c r="N3" s="138"/>
      <c r="O3" s="138"/>
      <c r="P3" s="138"/>
    </row>
    <row r="4" spans="2:16" ht="15" customHeight="1" x14ac:dyDescent="0.4">
      <c r="B4" s="138"/>
      <c r="C4" s="138"/>
      <c r="D4" s="138"/>
      <c r="E4" s="138"/>
      <c r="F4" s="138"/>
      <c r="G4" s="138"/>
      <c r="H4" s="138"/>
      <c r="I4" s="138"/>
      <c r="J4" s="138"/>
      <c r="K4" s="138"/>
      <c r="L4" s="138"/>
      <c r="M4" s="138"/>
      <c r="N4" s="138"/>
      <c r="O4" s="138"/>
      <c r="P4" s="138"/>
    </row>
    <row r="5" spans="2:16" ht="15" customHeight="1" x14ac:dyDescent="0.4">
      <c r="B5" s="138"/>
      <c r="C5" s="138"/>
      <c r="D5" s="138"/>
      <c r="E5" s="138"/>
      <c r="F5" s="138"/>
      <c r="G5" s="138"/>
      <c r="H5" s="138"/>
      <c r="I5" s="138"/>
      <c r="J5" s="138"/>
      <c r="K5" s="138"/>
      <c r="L5" s="138"/>
      <c r="M5" s="138"/>
      <c r="N5" s="138"/>
      <c r="O5" s="138"/>
      <c r="P5" s="138"/>
    </row>
    <row r="6" spans="2:16" ht="15" customHeight="1" x14ac:dyDescent="0.4">
      <c r="B6" s="138"/>
      <c r="C6" s="138"/>
      <c r="D6" s="138"/>
      <c r="E6" s="138"/>
      <c r="F6" s="138"/>
      <c r="G6" s="138"/>
      <c r="H6" s="138"/>
      <c r="I6" s="138"/>
      <c r="J6" s="138"/>
      <c r="K6" s="138"/>
      <c r="L6" s="138"/>
      <c r="M6" s="138"/>
      <c r="N6" s="138"/>
      <c r="O6" s="138"/>
      <c r="P6" s="138"/>
    </row>
    <row r="7" spans="2:16" ht="15" customHeight="1" x14ac:dyDescent="0.4">
      <c r="B7" s="138"/>
      <c r="C7" s="138"/>
      <c r="D7" s="138"/>
      <c r="E7" s="138"/>
      <c r="F7" s="138"/>
      <c r="G7" s="138"/>
      <c r="H7" s="138"/>
      <c r="I7" s="138"/>
      <c r="J7" s="138"/>
      <c r="K7" s="138"/>
      <c r="L7" s="138"/>
      <c r="M7" s="138"/>
      <c r="N7" s="138"/>
      <c r="O7" s="138"/>
      <c r="P7" s="138"/>
    </row>
    <row r="8" spans="2:16" ht="15" customHeight="1" x14ac:dyDescent="0.4">
      <c r="B8" s="138"/>
      <c r="C8" s="138"/>
      <c r="D8" s="138"/>
      <c r="E8" s="138"/>
      <c r="F8" s="138"/>
      <c r="G8" s="138"/>
      <c r="H8" s="138"/>
      <c r="I8" s="138"/>
      <c r="J8" s="138"/>
      <c r="K8" s="138"/>
      <c r="L8" s="138"/>
      <c r="M8" s="138"/>
      <c r="N8" s="138"/>
      <c r="O8" s="138"/>
      <c r="P8" s="138"/>
    </row>
    <row r="9" spans="2:16" ht="15" customHeight="1" x14ac:dyDescent="0.4">
      <c r="B9" s="138"/>
      <c r="C9" s="138"/>
      <c r="D9" s="138"/>
      <c r="E9" s="138"/>
      <c r="F9" s="138"/>
      <c r="G9" s="138"/>
      <c r="H9" s="138"/>
      <c r="I9" s="138"/>
      <c r="J9" s="138"/>
      <c r="K9" s="138"/>
      <c r="L9" s="138"/>
      <c r="M9" s="138"/>
      <c r="N9" s="138"/>
      <c r="O9" s="138"/>
      <c r="P9" s="138"/>
    </row>
    <row r="10" spans="2:16" ht="15" customHeight="1" x14ac:dyDescent="0.4">
      <c r="B10" s="138"/>
      <c r="C10" s="138"/>
      <c r="D10" s="138"/>
      <c r="E10" s="138"/>
      <c r="F10" s="138"/>
      <c r="G10" s="138"/>
      <c r="H10" s="138"/>
      <c r="I10" s="138"/>
      <c r="J10" s="138"/>
      <c r="K10" s="138"/>
      <c r="L10" s="138"/>
      <c r="M10" s="138"/>
      <c r="N10" s="138"/>
      <c r="O10" s="138"/>
      <c r="P10" s="138"/>
    </row>
    <row r="11" spans="2:16" ht="15" customHeight="1" x14ac:dyDescent="0.4">
      <c r="B11" s="138"/>
      <c r="C11" s="138"/>
      <c r="D11" s="138"/>
      <c r="E11" s="138"/>
      <c r="F11" s="138"/>
      <c r="G11" s="138"/>
      <c r="H11" s="138"/>
      <c r="I11" s="138"/>
      <c r="J11" s="138"/>
      <c r="K11" s="138"/>
      <c r="L11" s="138"/>
      <c r="M11" s="138"/>
      <c r="N11" s="138"/>
      <c r="O11" s="138"/>
      <c r="P11" s="138"/>
    </row>
    <row r="12" spans="2:16" ht="15" customHeight="1" x14ac:dyDescent="0.4">
      <c r="B12" s="138"/>
      <c r="C12" s="138"/>
      <c r="D12" s="138"/>
      <c r="E12" s="138"/>
      <c r="F12" s="138"/>
      <c r="G12" s="138"/>
      <c r="H12" s="138"/>
      <c r="I12" s="138"/>
      <c r="J12" s="138"/>
      <c r="K12" s="138"/>
      <c r="L12" s="138"/>
      <c r="M12" s="138"/>
      <c r="N12" s="138"/>
      <c r="O12" s="138"/>
      <c r="P12" s="138"/>
    </row>
    <row r="13" spans="2:16" x14ac:dyDescent="0.4">
      <c r="B13" s="138"/>
      <c r="C13" s="138"/>
      <c r="D13" s="138"/>
      <c r="E13" s="138"/>
      <c r="F13" s="138"/>
      <c r="G13" s="138"/>
      <c r="H13" s="138"/>
      <c r="I13" s="138"/>
      <c r="J13" s="138"/>
      <c r="K13" s="138"/>
      <c r="L13" s="138"/>
      <c r="M13" s="138"/>
      <c r="N13" s="138"/>
      <c r="O13" s="138"/>
      <c r="P13" s="138"/>
    </row>
    <row r="14" spans="2:16" x14ac:dyDescent="0.4">
      <c r="B14" s="138"/>
      <c r="C14" s="138"/>
      <c r="D14" s="138"/>
      <c r="E14" s="138"/>
      <c r="F14" s="138"/>
      <c r="G14" s="138"/>
      <c r="H14" s="138"/>
      <c r="I14" s="138"/>
      <c r="J14" s="138"/>
      <c r="K14" s="138"/>
      <c r="L14" s="138"/>
      <c r="M14" s="138"/>
      <c r="N14" s="138"/>
      <c r="O14" s="138"/>
      <c r="P14" s="138"/>
    </row>
    <row r="15" spans="2:16" x14ac:dyDescent="0.4">
      <c r="B15" s="138"/>
      <c r="C15" s="138"/>
      <c r="D15" s="138"/>
      <c r="E15" s="138"/>
      <c r="F15" s="138"/>
      <c r="G15" s="138"/>
      <c r="H15" s="138"/>
      <c r="I15" s="138"/>
      <c r="J15" s="138"/>
      <c r="K15" s="138"/>
      <c r="L15" s="138"/>
      <c r="M15" s="138"/>
      <c r="N15" s="138"/>
      <c r="O15" s="138"/>
      <c r="P15" s="138"/>
    </row>
    <row r="16" spans="2:16" x14ac:dyDescent="0.4">
      <c r="B16" s="138"/>
      <c r="C16" s="138"/>
      <c r="D16" s="138"/>
      <c r="E16" s="138"/>
      <c r="F16" s="138"/>
      <c r="G16" s="138"/>
      <c r="H16" s="138"/>
      <c r="I16" s="138"/>
      <c r="J16" s="138"/>
      <c r="K16" s="138"/>
      <c r="L16" s="138"/>
      <c r="M16" s="138"/>
      <c r="N16" s="138"/>
      <c r="O16" s="138"/>
      <c r="P16" s="138"/>
    </row>
    <row r="17" spans="2:16" x14ac:dyDescent="0.4">
      <c r="B17" s="138"/>
      <c r="C17" s="138"/>
      <c r="D17" s="138"/>
      <c r="E17" s="138"/>
      <c r="F17" s="138"/>
      <c r="G17" s="138"/>
      <c r="H17" s="138"/>
      <c r="I17" s="138"/>
      <c r="J17" s="138"/>
      <c r="K17" s="138"/>
      <c r="L17" s="138"/>
      <c r="M17" s="138"/>
      <c r="N17" s="138"/>
      <c r="O17" s="138"/>
      <c r="P17" s="138"/>
    </row>
    <row r="19" spans="2:16" x14ac:dyDescent="0.4">
      <c r="C19" s="26" t="s">
        <v>62</v>
      </c>
      <c r="D19" s="104">
        <v>6.5000000000000002E-2</v>
      </c>
      <c r="E19" s="105"/>
    </row>
    <row r="20" spans="2:16" x14ac:dyDescent="0.4">
      <c r="C20" s="26" t="s">
        <v>145</v>
      </c>
      <c r="D20" s="106">
        <v>0.05</v>
      </c>
      <c r="E20" s="107"/>
    </row>
    <row r="21" spans="2:16" x14ac:dyDescent="0.4">
      <c r="C21" s="26" t="s">
        <v>146</v>
      </c>
      <c r="D21" s="106">
        <v>0.06</v>
      </c>
      <c r="E21" s="107"/>
    </row>
    <row r="22" spans="2:16" x14ac:dyDescent="0.4">
      <c r="C22" s="26" t="s">
        <v>147</v>
      </c>
      <c r="D22" s="106">
        <v>7.0000000000000007E-2</v>
      </c>
      <c r="E22" s="107"/>
    </row>
    <row r="23" spans="2:16" x14ac:dyDescent="0.4">
      <c r="C23" s="26" t="s">
        <v>148</v>
      </c>
      <c r="D23" s="100">
        <v>100</v>
      </c>
      <c r="E23" s="108"/>
    </row>
    <row r="24" spans="2:16" x14ac:dyDescent="0.4">
      <c r="D24" s="107"/>
      <c r="E24" s="107"/>
    </row>
    <row r="25" spans="2:16" x14ac:dyDescent="0.4">
      <c r="D25" s="107"/>
      <c r="E25" s="107"/>
    </row>
    <row r="26" spans="2:16" x14ac:dyDescent="0.4">
      <c r="C26" s="52" t="s">
        <v>149</v>
      </c>
      <c r="D26" s="52" t="s">
        <v>150</v>
      </c>
      <c r="E26" s="52" t="s">
        <v>151</v>
      </c>
      <c r="G26" s="52" t="s">
        <v>149</v>
      </c>
      <c r="H26" s="52" t="s">
        <v>150</v>
      </c>
      <c r="I26" s="52" t="s">
        <v>151</v>
      </c>
      <c r="K26" s="52" t="s">
        <v>149</v>
      </c>
      <c r="L26" s="52" t="s">
        <v>150</v>
      </c>
      <c r="M26" s="52" t="s">
        <v>151</v>
      </c>
    </row>
    <row r="27" spans="2:16" x14ac:dyDescent="0.4">
      <c r="C27" s="52">
        <v>0</v>
      </c>
      <c r="D27" s="109">
        <f>-SUM(E28:E33)</f>
        <v>-96.239087783771893</v>
      </c>
      <c r="E27" s="52"/>
      <c r="G27" s="52">
        <v>0</v>
      </c>
      <c r="H27" s="109">
        <f>-SUM(I28:I41)</f>
        <v>-97.784062690668776</v>
      </c>
      <c r="I27" s="52"/>
      <c r="K27" s="52">
        <v>0</v>
      </c>
      <c r="L27" s="25">
        <f>-SUM(M28:M47)</f>
        <v>-104.39927152600974</v>
      </c>
      <c r="M27" s="52"/>
    </row>
    <row r="28" spans="2:16" x14ac:dyDescent="0.4">
      <c r="C28" s="52">
        <v>0.5</v>
      </c>
      <c r="D28" s="102">
        <f>$D$23*$D$20/2</f>
        <v>2.5</v>
      </c>
      <c r="E28" s="102">
        <f>D28*(1+$D$19)^(-C28)</f>
        <v>2.4225079155575462</v>
      </c>
      <c r="G28" s="52">
        <v>0.5</v>
      </c>
      <c r="H28" s="102">
        <f>$D$23*$D$21/2</f>
        <v>3</v>
      </c>
      <c r="I28" s="102">
        <f>H28*(1+$D$19)^(-G28)</f>
        <v>2.9070094986690553</v>
      </c>
      <c r="K28" s="52">
        <v>0.5</v>
      </c>
      <c r="L28" s="102">
        <f>$D$23*$D$22/2</f>
        <v>3.5000000000000004</v>
      </c>
      <c r="M28" s="73">
        <f>L28*(1+$D$19)^(-K28)</f>
        <v>3.3915110817805649</v>
      </c>
    </row>
    <row r="29" spans="2:16" x14ac:dyDescent="0.4">
      <c r="C29" s="52">
        <v>1</v>
      </c>
      <c r="D29" s="102">
        <f t="shared" ref="D29:D32" si="0">$D$23*$D$20/2</f>
        <v>2.5</v>
      </c>
      <c r="E29" s="102">
        <f t="shared" ref="E29:E33" si="1">D29*(1+$D$19)^(-C29)</f>
        <v>2.347417840375587</v>
      </c>
      <c r="G29" s="52">
        <v>1</v>
      </c>
      <c r="H29" s="102">
        <f t="shared" ref="H29:H40" si="2">$D$23*$D$21/2</f>
        <v>3</v>
      </c>
      <c r="I29" s="102">
        <f t="shared" ref="I29:I41" si="3">H29*(1+$D$19)^(-G29)</f>
        <v>2.816901408450704</v>
      </c>
      <c r="K29" s="52">
        <v>1</v>
      </c>
      <c r="L29" s="102">
        <f t="shared" ref="L29:L46" si="4">$D$23*$D$22/2</f>
        <v>3.5000000000000004</v>
      </c>
      <c r="M29" s="73">
        <f t="shared" ref="M29:M47" si="5">L29*(1+$D$19)^(-K29)</f>
        <v>3.286384976525822</v>
      </c>
    </row>
    <row r="30" spans="2:16" x14ac:dyDescent="0.4">
      <c r="C30" s="52">
        <v>1.5</v>
      </c>
      <c r="D30" s="102">
        <f t="shared" si="0"/>
        <v>2.5</v>
      </c>
      <c r="E30" s="102">
        <f t="shared" si="1"/>
        <v>2.2746553197723438</v>
      </c>
      <c r="G30" s="52">
        <v>1.5</v>
      </c>
      <c r="H30" s="102">
        <f t="shared" si="2"/>
        <v>3</v>
      </c>
      <c r="I30" s="102">
        <f t="shared" si="3"/>
        <v>2.7295863837268128</v>
      </c>
      <c r="K30" s="52">
        <v>1.5</v>
      </c>
      <c r="L30" s="102">
        <f t="shared" si="4"/>
        <v>3.5000000000000004</v>
      </c>
      <c r="M30" s="73">
        <f t="shared" si="5"/>
        <v>3.1845174476812819</v>
      </c>
    </row>
    <row r="31" spans="2:16" x14ac:dyDescent="0.4">
      <c r="C31" s="52">
        <v>2</v>
      </c>
      <c r="D31" s="102">
        <f t="shared" si="0"/>
        <v>2.5</v>
      </c>
      <c r="E31" s="102">
        <f t="shared" si="1"/>
        <v>2.2041482069254341</v>
      </c>
      <c r="G31" s="52">
        <v>2</v>
      </c>
      <c r="H31" s="102">
        <f t="shared" si="2"/>
        <v>3</v>
      </c>
      <c r="I31" s="102">
        <f t="shared" si="3"/>
        <v>2.6449778483105209</v>
      </c>
      <c r="K31" s="52">
        <v>2</v>
      </c>
      <c r="L31" s="102">
        <f t="shared" si="4"/>
        <v>3.5000000000000004</v>
      </c>
      <c r="M31" s="73">
        <f t="shared" si="5"/>
        <v>3.085807489695608</v>
      </c>
    </row>
    <row r="32" spans="2:16" x14ac:dyDescent="0.4">
      <c r="C32" s="52">
        <v>2.5</v>
      </c>
      <c r="D32" s="102">
        <f t="shared" si="0"/>
        <v>2.5</v>
      </c>
      <c r="E32" s="102">
        <f t="shared" si="1"/>
        <v>2.1358265913355341</v>
      </c>
      <c r="G32" s="52">
        <v>2.5</v>
      </c>
      <c r="H32" s="102">
        <f t="shared" si="2"/>
        <v>3</v>
      </c>
      <c r="I32" s="102">
        <f t="shared" si="3"/>
        <v>2.562991909602641</v>
      </c>
      <c r="K32" s="52">
        <v>2.5</v>
      </c>
      <c r="L32" s="102">
        <f t="shared" si="4"/>
        <v>3.5000000000000004</v>
      </c>
      <c r="M32" s="73">
        <f t="shared" si="5"/>
        <v>2.9901572278697484</v>
      </c>
    </row>
    <row r="33" spans="3:13" x14ac:dyDescent="0.4">
      <c r="C33" s="52">
        <v>3</v>
      </c>
      <c r="D33" s="102">
        <f>D23+$D$23*$D$20/2</f>
        <v>102.5</v>
      </c>
      <c r="E33" s="102">
        <f t="shared" si="1"/>
        <v>84.854531909805445</v>
      </c>
      <c r="G33" s="52">
        <v>3</v>
      </c>
      <c r="H33" s="102">
        <f t="shared" si="2"/>
        <v>3</v>
      </c>
      <c r="I33" s="102">
        <f t="shared" si="3"/>
        <v>2.4835472754089398</v>
      </c>
      <c r="K33" s="52">
        <v>3</v>
      </c>
      <c r="L33" s="102">
        <f t="shared" si="4"/>
        <v>3.5000000000000004</v>
      </c>
      <c r="M33" s="73">
        <f t="shared" si="5"/>
        <v>2.8974718213104302</v>
      </c>
    </row>
    <row r="34" spans="3:13" x14ac:dyDescent="0.4">
      <c r="G34" s="52">
        <v>3.5</v>
      </c>
      <c r="H34" s="102">
        <f t="shared" si="2"/>
        <v>3</v>
      </c>
      <c r="I34" s="102">
        <f t="shared" si="3"/>
        <v>2.4065651733358133</v>
      </c>
      <c r="K34" s="52">
        <v>3.5</v>
      </c>
      <c r="L34" s="102">
        <f t="shared" si="4"/>
        <v>3.5000000000000004</v>
      </c>
      <c r="M34" s="73">
        <f t="shared" si="5"/>
        <v>2.8076593688917826</v>
      </c>
    </row>
    <row r="35" spans="3:13" x14ac:dyDescent="0.4">
      <c r="G35" s="52">
        <v>4</v>
      </c>
      <c r="H35" s="102">
        <f t="shared" si="2"/>
        <v>3</v>
      </c>
      <c r="I35" s="102">
        <f t="shared" si="3"/>
        <v>2.331969272684451</v>
      </c>
      <c r="K35" s="52">
        <v>4</v>
      </c>
      <c r="L35" s="102">
        <f t="shared" si="4"/>
        <v>3.5000000000000004</v>
      </c>
      <c r="M35" s="73">
        <f t="shared" si="5"/>
        <v>2.7206308181318599</v>
      </c>
    </row>
    <row r="36" spans="3:13" x14ac:dyDescent="0.4">
      <c r="G36" s="52">
        <v>4.5</v>
      </c>
      <c r="H36" s="102">
        <f t="shared" si="2"/>
        <v>3</v>
      </c>
      <c r="I36" s="102">
        <f t="shared" si="3"/>
        <v>2.2596856087660222</v>
      </c>
      <c r="K36" s="52">
        <v>4.5</v>
      </c>
      <c r="L36" s="102">
        <f t="shared" si="4"/>
        <v>3.5000000000000004</v>
      </c>
      <c r="M36" s="73">
        <f t="shared" si="5"/>
        <v>2.6362998768936929</v>
      </c>
    </row>
    <row r="37" spans="3:13" x14ac:dyDescent="0.4">
      <c r="G37" s="52">
        <v>5</v>
      </c>
      <c r="H37" s="102">
        <f t="shared" si="2"/>
        <v>3</v>
      </c>
      <c r="I37" s="102">
        <f t="shared" si="3"/>
        <v>2.1896425095628649</v>
      </c>
      <c r="K37" s="52">
        <v>5</v>
      </c>
      <c r="L37" s="102">
        <f t="shared" si="4"/>
        <v>3.5000000000000004</v>
      </c>
      <c r="M37" s="73">
        <f t="shared" si="5"/>
        <v>2.5545829278233425</v>
      </c>
    </row>
    <row r="38" spans="3:13" x14ac:dyDescent="0.4">
      <c r="G38" s="52">
        <v>5.5</v>
      </c>
      <c r="H38" s="102">
        <f t="shared" si="2"/>
        <v>3</v>
      </c>
      <c r="I38" s="102">
        <f t="shared" si="3"/>
        <v>2.1217705246629315</v>
      </c>
      <c r="K38" s="52">
        <v>5.5</v>
      </c>
      <c r="L38" s="102">
        <f t="shared" si="4"/>
        <v>3.5000000000000004</v>
      </c>
      <c r="M38" s="73">
        <f t="shared" si="5"/>
        <v>2.4753989454400873</v>
      </c>
    </row>
    <row r="39" spans="3:13" x14ac:dyDescent="0.4">
      <c r="G39" s="52">
        <v>6</v>
      </c>
      <c r="H39" s="102">
        <f t="shared" si="2"/>
        <v>3</v>
      </c>
      <c r="I39" s="102">
        <f t="shared" si="3"/>
        <v>2.0560023563970562</v>
      </c>
      <c r="K39" s="52">
        <v>6</v>
      </c>
      <c r="L39" s="102">
        <f t="shared" si="4"/>
        <v>3.5000000000000004</v>
      </c>
      <c r="M39" s="73">
        <f t="shared" si="5"/>
        <v>2.398669415796566</v>
      </c>
    </row>
    <row r="40" spans="3:13" x14ac:dyDescent="0.4">
      <c r="G40" s="52">
        <v>6.5</v>
      </c>
      <c r="H40" s="102">
        <f t="shared" si="2"/>
        <v>3</v>
      </c>
      <c r="I40" s="102">
        <f t="shared" si="3"/>
        <v>1.9922727931107338</v>
      </c>
      <c r="K40" s="52">
        <v>6.5</v>
      </c>
      <c r="L40" s="102">
        <f t="shared" si="4"/>
        <v>3.5000000000000004</v>
      </c>
      <c r="M40" s="73">
        <f t="shared" si="5"/>
        <v>2.3243182586291899</v>
      </c>
    </row>
    <row r="41" spans="3:13" x14ac:dyDescent="0.4">
      <c r="G41" s="52">
        <v>7</v>
      </c>
      <c r="H41" s="102">
        <f>D23+$D$23*$D$21/2</f>
        <v>103</v>
      </c>
      <c r="I41" s="102">
        <f t="shared" si="3"/>
        <v>66.281140127980223</v>
      </c>
      <c r="K41" s="52">
        <v>7</v>
      </c>
      <c r="L41" s="102">
        <f t="shared" si="4"/>
        <v>3.5000000000000004</v>
      </c>
      <c r="M41" s="73">
        <f t="shared" si="5"/>
        <v>2.2522717519216582</v>
      </c>
    </row>
    <row r="42" spans="3:13" x14ac:dyDescent="0.4">
      <c r="K42" s="52">
        <v>7.5</v>
      </c>
      <c r="L42" s="102">
        <f t="shared" si="4"/>
        <v>3.5000000000000004</v>
      </c>
      <c r="M42" s="73">
        <f t="shared" si="5"/>
        <v>2.1824584588067513</v>
      </c>
    </row>
    <row r="43" spans="3:13" x14ac:dyDescent="0.4">
      <c r="K43" s="52">
        <v>8</v>
      </c>
      <c r="L43" s="102">
        <f t="shared" si="4"/>
        <v>3.5000000000000004</v>
      </c>
      <c r="M43" s="73">
        <f t="shared" si="5"/>
        <v>2.1148091567339518</v>
      </c>
    </row>
    <row r="44" spans="3:13" x14ac:dyDescent="0.4">
      <c r="K44" s="52">
        <v>8.5</v>
      </c>
      <c r="L44" s="102">
        <f t="shared" si="4"/>
        <v>3.5000000000000004</v>
      </c>
      <c r="M44" s="73">
        <f t="shared" si="5"/>
        <v>2.0492567688326306</v>
      </c>
    </row>
    <row r="45" spans="3:13" x14ac:dyDescent="0.4">
      <c r="K45" s="52">
        <v>9</v>
      </c>
      <c r="L45" s="102">
        <f t="shared" si="4"/>
        <v>3.5000000000000004</v>
      </c>
      <c r="M45" s="73">
        <f t="shared" si="5"/>
        <v>1.9857362974027717</v>
      </c>
    </row>
    <row r="46" spans="3:13" x14ac:dyDescent="0.4">
      <c r="K46" s="52">
        <v>9.5</v>
      </c>
      <c r="L46" s="102">
        <f t="shared" si="4"/>
        <v>3.5000000000000004</v>
      </c>
      <c r="M46" s="73">
        <f t="shared" si="5"/>
        <v>1.9241847594672585</v>
      </c>
    </row>
    <row r="47" spans="3:13" x14ac:dyDescent="0.4">
      <c r="K47" s="52">
        <v>10</v>
      </c>
      <c r="L47" s="102">
        <f>D23+$D$23*$D$22/2</f>
        <v>103.5</v>
      </c>
      <c r="M47" s="73">
        <f t="shared" si="5"/>
        <v>55.137144676374739</v>
      </c>
    </row>
  </sheetData>
  <mergeCells count="1">
    <mergeCell ref="B2:P17"/>
  </mergeCells>
  <pageMargins left="0.7" right="0.7"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glio7"/>
  <dimension ref="B2:M26"/>
  <sheetViews>
    <sheetView zoomScaleNormal="100" workbookViewId="0">
      <selection activeCell="C30" sqref="C30:M31"/>
    </sheetView>
  </sheetViews>
  <sheetFormatPr defaultColWidth="9.109375" defaultRowHeight="21" x14ac:dyDescent="0.4"/>
  <cols>
    <col min="1" max="2" width="9.109375" style="21"/>
    <col min="3" max="3" width="15" style="21" bestFit="1" customWidth="1"/>
    <col min="4" max="4" width="18" style="21" bestFit="1" customWidth="1"/>
    <col min="5" max="16384" width="9.109375" style="21"/>
  </cols>
  <sheetData>
    <row r="2" spans="2:13" ht="15" customHeight="1" x14ac:dyDescent="0.4">
      <c r="B2" s="138" t="s">
        <v>152</v>
      </c>
      <c r="C2" s="138"/>
      <c r="D2" s="138"/>
      <c r="E2" s="138"/>
      <c r="F2" s="138"/>
      <c r="G2" s="138"/>
      <c r="H2" s="138"/>
      <c r="I2" s="138"/>
      <c r="J2" s="138"/>
      <c r="K2" s="138"/>
      <c r="L2" s="138"/>
      <c r="M2" s="138"/>
    </row>
    <row r="3" spans="2:13" ht="15" customHeight="1" x14ac:dyDescent="0.4">
      <c r="B3" s="138"/>
      <c r="C3" s="138"/>
      <c r="D3" s="138"/>
      <c r="E3" s="138"/>
      <c r="F3" s="138"/>
      <c r="G3" s="138"/>
      <c r="H3" s="138"/>
      <c r="I3" s="138"/>
      <c r="J3" s="138"/>
      <c r="K3" s="138"/>
      <c r="L3" s="138"/>
      <c r="M3" s="138"/>
    </row>
    <row r="4" spans="2:13" ht="15" customHeight="1" x14ac:dyDescent="0.4">
      <c r="B4" s="138"/>
      <c r="C4" s="138"/>
      <c r="D4" s="138"/>
      <c r="E4" s="138"/>
      <c r="F4" s="138"/>
      <c r="G4" s="138"/>
      <c r="H4" s="138"/>
      <c r="I4" s="138"/>
      <c r="J4" s="138"/>
      <c r="K4" s="138"/>
      <c r="L4" s="138"/>
      <c r="M4" s="138"/>
    </row>
    <row r="5" spans="2:13" ht="15" customHeight="1" x14ac:dyDescent="0.4">
      <c r="B5" s="138"/>
      <c r="C5" s="138"/>
      <c r="D5" s="138"/>
      <c r="E5" s="138"/>
      <c r="F5" s="138"/>
      <c r="G5" s="138"/>
      <c r="H5" s="138"/>
      <c r="I5" s="138"/>
      <c r="J5" s="138"/>
      <c r="K5" s="138"/>
      <c r="L5" s="138"/>
      <c r="M5" s="138"/>
    </row>
    <row r="6" spans="2:13" ht="15" customHeight="1" x14ac:dyDescent="0.4">
      <c r="B6" s="138"/>
      <c r="C6" s="138"/>
      <c r="D6" s="138"/>
      <c r="E6" s="138"/>
      <c r="F6" s="138"/>
      <c r="G6" s="138"/>
      <c r="H6" s="138"/>
      <c r="I6" s="138"/>
      <c r="J6" s="138"/>
      <c r="K6" s="138"/>
      <c r="L6" s="138"/>
      <c r="M6" s="138"/>
    </row>
    <row r="7" spans="2:13" ht="15" customHeight="1" x14ac:dyDescent="0.4">
      <c r="B7" s="138"/>
      <c r="C7" s="138"/>
      <c r="D7" s="138"/>
      <c r="E7" s="138"/>
      <c r="F7" s="138"/>
      <c r="G7" s="138"/>
      <c r="H7" s="138"/>
      <c r="I7" s="138"/>
      <c r="J7" s="138"/>
      <c r="K7" s="138"/>
      <c r="L7" s="138"/>
      <c r="M7" s="138"/>
    </row>
    <row r="8" spans="2:13" ht="15" customHeight="1" x14ac:dyDescent="0.4">
      <c r="B8" s="138"/>
      <c r="C8" s="138"/>
      <c r="D8" s="138"/>
      <c r="E8" s="138"/>
      <c r="F8" s="138"/>
      <c r="G8" s="138"/>
      <c r="H8" s="138"/>
      <c r="I8" s="138"/>
      <c r="J8" s="138"/>
      <c r="K8" s="138"/>
      <c r="L8" s="138"/>
      <c r="M8" s="138"/>
    </row>
    <row r="9" spans="2:13" ht="15" customHeight="1" x14ac:dyDescent="0.4">
      <c r="B9" s="138"/>
      <c r="C9" s="138"/>
      <c r="D9" s="138"/>
      <c r="E9" s="138"/>
      <c r="F9" s="138"/>
      <c r="G9" s="138"/>
      <c r="H9" s="138"/>
      <c r="I9" s="138"/>
      <c r="J9" s="138"/>
      <c r="K9" s="138"/>
      <c r="L9" s="138"/>
      <c r="M9" s="138"/>
    </row>
    <row r="10" spans="2:13" ht="15" customHeight="1" x14ac:dyDescent="0.4">
      <c r="B10" s="138"/>
      <c r="C10" s="138"/>
      <c r="D10" s="138"/>
      <c r="E10" s="138"/>
      <c r="F10" s="138"/>
      <c r="G10" s="138"/>
      <c r="H10" s="138"/>
      <c r="I10" s="138"/>
      <c r="J10" s="138"/>
      <c r="K10" s="138"/>
      <c r="L10" s="138"/>
      <c r="M10" s="138"/>
    </row>
    <row r="11" spans="2:13" ht="15" customHeight="1" x14ac:dyDescent="0.4">
      <c r="B11" s="138"/>
      <c r="C11" s="138"/>
      <c r="D11" s="138"/>
      <c r="E11" s="138"/>
      <c r="F11" s="138"/>
      <c r="G11" s="138"/>
      <c r="H11" s="138"/>
      <c r="I11" s="138"/>
      <c r="J11" s="138"/>
      <c r="K11" s="138"/>
      <c r="L11" s="138"/>
      <c r="M11" s="138"/>
    </row>
    <row r="12" spans="2:13" ht="15" customHeight="1" x14ac:dyDescent="0.4">
      <c r="B12" s="138"/>
      <c r="C12" s="138"/>
      <c r="D12" s="138"/>
      <c r="E12" s="138"/>
      <c r="F12" s="138"/>
      <c r="G12" s="138"/>
      <c r="H12" s="138"/>
      <c r="I12" s="138"/>
      <c r="J12" s="138"/>
      <c r="K12" s="138"/>
      <c r="L12" s="138"/>
      <c r="M12" s="138"/>
    </row>
    <row r="13" spans="2:13" x14ac:dyDescent="0.4">
      <c r="B13" s="138"/>
      <c r="C13" s="138"/>
      <c r="D13" s="138"/>
      <c r="E13" s="138"/>
      <c r="F13" s="138"/>
      <c r="G13" s="138"/>
      <c r="H13" s="138"/>
      <c r="I13" s="138"/>
      <c r="J13" s="138"/>
      <c r="K13" s="138"/>
      <c r="L13" s="138"/>
      <c r="M13" s="138"/>
    </row>
    <row r="14" spans="2:13" x14ac:dyDescent="0.4">
      <c r="B14" s="138"/>
      <c r="C14" s="138"/>
      <c r="D14" s="138"/>
      <c r="E14" s="138"/>
      <c r="F14" s="138"/>
      <c r="G14" s="138"/>
      <c r="H14" s="138"/>
      <c r="I14" s="138"/>
      <c r="J14" s="138"/>
      <c r="K14" s="138"/>
      <c r="L14" s="138"/>
      <c r="M14" s="138"/>
    </row>
    <row r="16" spans="2:13" x14ac:dyDescent="0.4">
      <c r="C16" s="26" t="s">
        <v>139</v>
      </c>
      <c r="D16" s="100">
        <v>15000</v>
      </c>
    </row>
    <row r="17" spans="3:13" x14ac:dyDescent="0.4">
      <c r="C17" s="26" t="s">
        <v>57</v>
      </c>
      <c r="D17" s="100">
        <v>5000</v>
      </c>
    </row>
    <row r="18" spans="3:13" x14ac:dyDescent="0.4">
      <c r="C18" s="26" t="s">
        <v>68</v>
      </c>
      <c r="D18" s="106">
        <v>0.04</v>
      </c>
    </row>
    <row r="19" spans="3:13" x14ac:dyDescent="0.4">
      <c r="C19" s="26" t="s">
        <v>67</v>
      </c>
      <c r="D19" s="106">
        <v>0.05</v>
      </c>
    </row>
    <row r="21" spans="3:13" x14ac:dyDescent="0.4">
      <c r="C21" s="21" t="s">
        <v>153</v>
      </c>
      <c r="D21" s="110">
        <f>D16+D17</f>
        <v>20000</v>
      </c>
    </row>
    <row r="22" spans="3:13" x14ac:dyDescent="0.4">
      <c r="C22" s="21" t="s">
        <v>154</v>
      </c>
      <c r="D22" s="21">
        <f>LN(D21/D16)/LN(1+D18)</f>
        <v>7.3349526136220309</v>
      </c>
    </row>
    <row r="23" spans="3:13" ht="24.6" x14ac:dyDescent="0.55000000000000004">
      <c r="C23" s="21" t="s">
        <v>155</v>
      </c>
      <c r="D23" s="21">
        <f>(D21/D16-1)/D19</f>
        <v>6.6666666666666652</v>
      </c>
    </row>
    <row r="25" spans="3:13" x14ac:dyDescent="0.4">
      <c r="C25" s="140" t="s">
        <v>156</v>
      </c>
      <c r="D25" s="140"/>
      <c r="E25" s="140"/>
      <c r="F25" s="140"/>
      <c r="G25" s="140"/>
      <c r="H25" s="140"/>
      <c r="I25" s="140"/>
      <c r="J25" s="140"/>
      <c r="K25" s="140"/>
      <c r="L25" s="140"/>
      <c r="M25" s="140"/>
    </row>
    <row r="26" spans="3:13" x14ac:dyDescent="0.4">
      <c r="C26" s="140"/>
      <c r="D26" s="140"/>
      <c r="E26" s="140"/>
      <c r="F26" s="140"/>
      <c r="G26" s="140"/>
      <c r="H26" s="140"/>
      <c r="I26" s="140"/>
      <c r="J26" s="140"/>
      <c r="K26" s="140"/>
      <c r="L26" s="140"/>
      <c r="M26" s="140"/>
    </row>
  </sheetData>
  <mergeCells count="2">
    <mergeCell ref="B2:M14"/>
    <mergeCell ref="C25:M26"/>
  </mergeCells>
  <pageMargins left="0.7" right="0.7" top="0.75" bottom="0.75" header="0.3" footer="0.3"/>
  <pageSetup paperSize="9" scale="6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glio8"/>
  <dimension ref="B2:N27"/>
  <sheetViews>
    <sheetView zoomScaleNormal="100" workbookViewId="0">
      <selection activeCell="D20" sqref="D20"/>
    </sheetView>
  </sheetViews>
  <sheetFormatPr defaultColWidth="9.109375" defaultRowHeight="21" x14ac:dyDescent="0.4"/>
  <cols>
    <col min="1" max="2" width="9.109375" style="21"/>
    <col min="3" max="3" width="17.44140625" style="21" customWidth="1"/>
    <col min="4" max="4" width="10.44140625" style="21" bestFit="1" customWidth="1"/>
    <col min="5" max="16384" width="9.109375" style="21"/>
  </cols>
  <sheetData>
    <row r="2" spans="2:14" ht="21" customHeight="1" x14ac:dyDescent="0.4">
      <c r="B2" s="138" t="s">
        <v>157</v>
      </c>
      <c r="C2" s="138"/>
      <c r="D2" s="138"/>
      <c r="E2" s="138"/>
      <c r="F2" s="138"/>
      <c r="G2" s="138"/>
      <c r="H2" s="138"/>
      <c r="I2" s="138"/>
      <c r="J2" s="138"/>
      <c r="K2" s="138"/>
      <c r="L2" s="138"/>
      <c r="M2" s="138"/>
      <c r="N2" s="138"/>
    </row>
    <row r="3" spans="2:14" x14ac:dyDescent="0.4">
      <c r="B3" s="138"/>
      <c r="C3" s="138"/>
      <c r="D3" s="138"/>
      <c r="E3" s="138"/>
      <c r="F3" s="138"/>
      <c r="G3" s="138"/>
      <c r="H3" s="138"/>
      <c r="I3" s="138"/>
      <c r="J3" s="138"/>
      <c r="K3" s="138"/>
      <c r="L3" s="138"/>
      <c r="M3" s="138"/>
      <c r="N3" s="138"/>
    </row>
    <row r="4" spans="2:14" x14ac:dyDescent="0.4">
      <c r="B4" s="138"/>
      <c r="C4" s="138"/>
      <c r="D4" s="138"/>
      <c r="E4" s="138"/>
      <c r="F4" s="138"/>
      <c r="G4" s="138"/>
      <c r="H4" s="138"/>
      <c r="I4" s="138"/>
      <c r="J4" s="138"/>
      <c r="K4" s="138"/>
      <c r="L4" s="138"/>
      <c r="M4" s="138"/>
      <c r="N4" s="138"/>
    </row>
    <row r="5" spans="2:14" x14ac:dyDescent="0.4">
      <c r="B5" s="138"/>
      <c r="C5" s="138"/>
      <c r="D5" s="138"/>
      <c r="E5" s="138"/>
      <c r="F5" s="138"/>
      <c r="G5" s="138"/>
      <c r="H5" s="138"/>
      <c r="I5" s="138"/>
      <c r="J5" s="138"/>
      <c r="K5" s="138"/>
      <c r="L5" s="138"/>
      <c r="M5" s="138"/>
      <c r="N5" s="138"/>
    </row>
    <row r="6" spans="2:14" x14ac:dyDescent="0.4">
      <c r="B6" s="138"/>
      <c r="C6" s="138"/>
      <c r="D6" s="138"/>
      <c r="E6" s="138"/>
      <c r="F6" s="138"/>
      <c r="G6" s="138"/>
      <c r="H6" s="138"/>
      <c r="I6" s="138"/>
      <c r="J6" s="138"/>
      <c r="K6" s="138"/>
      <c r="L6" s="138"/>
      <c r="M6" s="138"/>
      <c r="N6" s="138"/>
    </row>
    <row r="7" spans="2:14" x14ac:dyDescent="0.4">
      <c r="B7" s="138"/>
      <c r="C7" s="138"/>
      <c r="D7" s="138"/>
      <c r="E7" s="138"/>
      <c r="F7" s="138"/>
      <c r="G7" s="138"/>
      <c r="H7" s="138"/>
      <c r="I7" s="138"/>
      <c r="J7" s="138"/>
      <c r="K7" s="138"/>
      <c r="L7" s="138"/>
      <c r="M7" s="138"/>
      <c r="N7" s="138"/>
    </row>
    <row r="8" spans="2:14" x14ac:dyDescent="0.4">
      <c r="B8" s="138"/>
      <c r="C8" s="138"/>
      <c r="D8" s="138"/>
      <c r="E8" s="138"/>
      <c r="F8" s="138"/>
      <c r="G8" s="138"/>
      <c r="H8" s="138"/>
      <c r="I8" s="138"/>
      <c r="J8" s="138"/>
      <c r="K8" s="138"/>
      <c r="L8" s="138"/>
      <c r="M8" s="138"/>
      <c r="N8" s="138"/>
    </row>
    <row r="9" spans="2:14" x14ac:dyDescent="0.4">
      <c r="B9" s="138"/>
      <c r="C9" s="138"/>
      <c r="D9" s="138"/>
      <c r="E9" s="138"/>
      <c r="F9" s="138"/>
      <c r="G9" s="138"/>
      <c r="H9" s="138"/>
      <c r="I9" s="138"/>
      <c r="J9" s="138"/>
      <c r="K9" s="138"/>
      <c r="L9" s="138"/>
      <c r="M9" s="138"/>
      <c r="N9" s="138"/>
    </row>
    <row r="10" spans="2:14" x14ac:dyDescent="0.4">
      <c r="B10" s="138"/>
      <c r="C10" s="138"/>
      <c r="D10" s="138"/>
      <c r="E10" s="138"/>
      <c r="F10" s="138"/>
      <c r="G10" s="138"/>
      <c r="H10" s="138"/>
      <c r="I10" s="138"/>
      <c r="J10" s="138"/>
      <c r="K10" s="138"/>
      <c r="L10" s="138"/>
      <c r="M10" s="138"/>
      <c r="N10" s="138"/>
    </row>
    <row r="11" spans="2:14" x14ac:dyDescent="0.4">
      <c r="B11" s="138"/>
      <c r="C11" s="138"/>
      <c r="D11" s="138"/>
      <c r="E11" s="138"/>
      <c r="F11" s="138"/>
      <c r="G11" s="138"/>
      <c r="H11" s="138"/>
      <c r="I11" s="138"/>
      <c r="J11" s="138"/>
      <c r="K11" s="138"/>
      <c r="L11" s="138"/>
      <c r="M11" s="138"/>
      <c r="N11" s="138"/>
    </row>
    <row r="12" spans="2:14" x14ac:dyDescent="0.4">
      <c r="B12" s="138"/>
      <c r="C12" s="138"/>
      <c r="D12" s="138"/>
      <c r="E12" s="138"/>
      <c r="F12" s="138"/>
      <c r="G12" s="138"/>
      <c r="H12" s="138"/>
      <c r="I12" s="138"/>
      <c r="J12" s="138"/>
      <c r="K12" s="138"/>
      <c r="L12" s="138"/>
      <c r="M12" s="138"/>
      <c r="N12" s="138"/>
    </row>
    <row r="13" spans="2:14" x14ac:dyDescent="0.4">
      <c r="B13" s="138"/>
      <c r="C13" s="138"/>
      <c r="D13" s="138"/>
      <c r="E13" s="138"/>
      <c r="F13" s="138"/>
      <c r="G13" s="138"/>
      <c r="H13" s="138"/>
      <c r="I13" s="138"/>
      <c r="J13" s="138"/>
      <c r="K13" s="138"/>
      <c r="L13" s="138"/>
      <c r="M13" s="138"/>
      <c r="N13" s="138"/>
    </row>
    <row r="14" spans="2:14" x14ac:dyDescent="0.4">
      <c r="B14" s="111"/>
      <c r="C14" s="111"/>
      <c r="D14" s="111"/>
      <c r="E14" s="111"/>
      <c r="F14" s="111"/>
      <c r="G14" s="111"/>
      <c r="H14" s="111"/>
      <c r="I14" s="111"/>
      <c r="J14" s="111"/>
      <c r="K14" s="111"/>
      <c r="L14" s="111"/>
      <c r="M14" s="111"/>
      <c r="N14" s="111"/>
    </row>
    <row r="15" spans="2:14" x14ac:dyDescent="0.4">
      <c r="B15" s="111"/>
      <c r="C15" s="112" t="s">
        <v>158</v>
      </c>
      <c r="D15" s="113">
        <v>0.03</v>
      </c>
      <c r="E15" s="111"/>
      <c r="F15" s="111"/>
      <c r="G15" s="111"/>
      <c r="H15" s="111"/>
      <c r="I15" s="111"/>
      <c r="J15" s="111"/>
      <c r="K15" s="111"/>
      <c r="L15" s="111"/>
      <c r="M15" s="111"/>
      <c r="N15" s="111"/>
    </row>
    <row r="16" spans="2:14" x14ac:dyDescent="0.4">
      <c r="B16" s="111"/>
      <c r="C16" s="112" t="s">
        <v>159</v>
      </c>
      <c r="D16" s="113">
        <v>0.04</v>
      </c>
      <c r="E16" s="111"/>
      <c r="F16" s="111"/>
      <c r="G16" s="111"/>
      <c r="H16" s="111"/>
      <c r="I16" s="111"/>
      <c r="J16" s="111"/>
      <c r="K16" s="111"/>
      <c r="L16" s="111"/>
      <c r="M16" s="111"/>
      <c r="N16" s="111"/>
    </row>
    <row r="17" spans="2:14" x14ac:dyDescent="0.4">
      <c r="B17" s="111"/>
      <c r="C17" s="112" t="s">
        <v>139</v>
      </c>
      <c r="D17" s="114">
        <v>1</v>
      </c>
      <c r="E17" s="111"/>
      <c r="F17" s="111"/>
      <c r="G17" s="111"/>
      <c r="H17" s="111"/>
      <c r="I17" s="111"/>
      <c r="J17" s="111"/>
      <c r="K17" s="111"/>
      <c r="L17" s="111"/>
      <c r="M17" s="111"/>
      <c r="N17" s="111"/>
    </row>
    <row r="18" spans="2:14" x14ac:dyDescent="0.4">
      <c r="B18" s="111"/>
      <c r="C18" s="112" t="s">
        <v>83</v>
      </c>
      <c r="D18" s="114">
        <f>1+1/4</f>
        <v>1.25</v>
      </c>
      <c r="E18" s="111"/>
      <c r="F18" s="111"/>
      <c r="G18" s="111"/>
      <c r="H18" s="111"/>
      <c r="I18" s="111"/>
      <c r="J18" s="111"/>
      <c r="K18" s="111"/>
      <c r="L18" s="111"/>
      <c r="M18" s="111"/>
      <c r="N18" s="111"/>
    </row>
    <row r="20" spans="2:14" x14ac:dyDescent="0.4">
      <c r="C20" s="52" t="s">
        <v>160</v>
      </c>
      <c r="D20" s="52">
        <f>LN(D18/D17)/LN(1+D15)</f>
        <v>7.5491405061259567</v>
      </c>
    </row>
    <row r="21" spans="2:14" x14ac:dyDescent="0.4">
      <c r="C21" s="52" t="s">
        <v>161</v>
      </c>
      <c r="D21" s="115">
        <f>1/4</f>
        <v>0.25</v>
      </c>
    </row>
    <row r="23" spans="2:14" x14ac:dyDescent="0.4">
      <c r="C23" s="52" t="s">
        <v>162</v>
      </c>
      <c r="D23" s="116">
        <f>(D18/D17-1)/D16</f>
        <v>6.25</v>
      </c>
    </row>
    <row r="24" spans="2:14" x14ac:dyDescent="0.4">
      <c r="C24" s="52" t="s">
        <v>163</v>
      </c>
      <c r="D24" s="115">
        <f>1/4</f>
        <v>0.25</v>
      </c>
    </row>
    <row r="26" spans="2:14" x14ac:dyDescent="0.4">
      <c r="C26" s="140" t="s">
        <v>164</v>
      </c>
      <c r="D26" s="140"/>
      <c r="E26" s="140"/>
      <c r="F26" s="140"/>
      <c r="G26" s="140"/>
      <c r="H26" s="140"/>
      <c r="I26" s="140"/>
      <c r="J26" s="140"/>
      <c r="K26" s="140"/>
      <c r="L26" s="140"/>
      <c r="M26" s="140"/>
      <c r="N26" s="140"/>
    </row>
    <row r="27" spans="2:14" x14ac:dyDescent="0.4">
      <c r="C27" s="140"/>
      <c r="D27" s="140"/>
      <c r="E27" s="140"/>
      <c r="F27" s="140"/>
      <c r="G27" s="140"/>
      <c r="H27" s="140"/>
      <c r="I27" s="140"/>
      <c r="J27" s="140"/>
      <c r="K27" s="140"/>
      <c r="L27" s="140"/>
      <c r="M27" s="140"/>
      <c r="N27" s="140"/>
    </row>
  </sheetData>
  <mergeCells count="2">
    <mergeCell ref="B2:N13"/>
    <mergeCell ref="C26:N27"/>
  </mergeCells>
  <pageMargins left="0.7" right="0.7" top="0.75" bottom="0.75" header="0.3" footer="0.3"/>
  <pageSetup paperSize="9" scale="6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oglio9"/>
  <dimension ref="B2:N23"/>
  <sheetViews>
    <sheetView zoomScaleNormal="100" workbookViewId="0">
      <selection activeCell="D20" sqref="D20"/>
    </sheetView>
  </sheetViews>
  <sheetFormatPr defaultColWidth="9.109375" defaultRowHeight="21" x14ac:dyDescent="0.4"/>
  <cols>
    <col min="1" max="2" width="9.109375" style="21"/>
    <col min="3" max="3" width="15.33203125" style="21" customWidth="1"/>
    <col min="4" max="4" width="19.33203125" style="21" bestFit="1" customWidth="1"/>
    <col min="5" max="5" width="23.109375" style="21" bestFit="1" customWidth="1"/>
    <col min="6" max="6" width="9.109375" style="21"/>
    <col min="7" max="7" width="12.44140625" style="21" bestFit="1" customWidth="1"/>
    <col min="8" max="16384" width="9.109375" style="21"/>
  </cols>
  <sheetData>
    <row r="2" spans="2:14" ht="21" customHeight="1" x14ac:dyDescent="0.4">
      <c r="B2" s="138" t="s">
        <v>165</v>
      </c>
      <c r="C2" s="138"/>
      <c r="D2" s="138"/>
      <c r="E2" s="138"/>
      <c r="F2" s="138"/>
      <c r="G2" s="138"/>
      <c r="H2" s="138"/>
      <c r="I2" s="138"/>
      <c r="J2" s="138"/>
      <c r="K2" s="138"/>
      <c r="L2" s="138"/>
      <c r="M2" s="138"/>
      <c r="N2" s="138"/>
    </row>
    <row r="3" spans="2:14" x14ac:dyDescent="0.4">
      <c r="B3" s="138"/>
      <c r="C3" s="138"/>
      <c r="D3" s="138"/>
      <c r="E3" s="138"/>
      <c r="F3" s="138"/>
      <c r="G3" s="138"/>
      <c r="H3" s="138"/>
      <c r="I3" s="138"/>
      <c r="J3" s="138"/>
      <c r="K3" s="138"/>
      <c r="L3" s="138"/>
      <c r="M3" s="138"/>
      <c r="N3" s="138"/>
    </row>
    <row r="4" spans="2:14" x14ac:dyDescent="0.4">
      <c r="B4" s="138"/>
      <c r="C4" s="138"/>
      <c r="D4" s="138"/>
      <c r="E4" s="138"/>
      <c r="F4" s="138"/>
      <c r="G4" s="138"/>
      <c r="H4" s="138"/>
      <c r="I4" s="138"/>
      <c r="J4" s="138"/>
      <c r="K4" s="138"/>
      <c r="L4" s="138"/>
      <c r="M4" s="138"/>
      <c r="N4" s="138"/>
    </row>
    <row r="5" spans="2:14" x14ac:dyDescent="0.4">
      <c r="B5" s="138"/>
      <c r="C5" s="138"/>
      <c r="D5" s="138"/>
      <c r="E5" s="138"/>
      <c r="F5" s="138"/>
      <c r="G5" s="138"/>
      <c r="H5" s="138"/>
      <c r="I5" s="138"/>
      <c r="J5" s="138"/>
      <c r="K5" s="138"/>
      <c r="L5" s="138"/>
      <c r="M5" s="138"/>
      <c r="N5" s="138"/>
    </row>
    <row r="6" spans="2:14" x14ac:dyDescent="0.4">
      <c r="B6" s="138"/>
      <c r="C6" s="138"/>
      <c r="D6" s="138"/>
      <c r="E6" s="138"/>
      <c r="F6" s="138"/>
      <c r="G6" s="138"/>
      <c r="H6" s="138"/>
      <c r="I6" s="138"/>
      <c r="J6" s="138"/>
      <c r="K6" s="138"/>
      <c r="L6" s="138"/>
      <c r="M6" s="138"/>
      <c r="N6" s="138"/>
    </row>
    <row r="7" spans="2:14" x14ac:dyDescent="0.4">
      <c r="B7" s="138"/>
      <c r="C7" s="138"/>
      <c r="D7" s="138"/>
      <c r="E7" s="138"/>
      <c r="F7" s="138"/>
      <c r="G7" s="138"/>
      <c r="H7" s="138"/>
      <c r="I7" s="138"/>
      <c r="J7" s="138"/>
      <c r="K7" s="138"/>
      <c r="L7" s="138"/>
      <c r="M7" s="138"/>
      <c r="N7" s="138"/>
    </row>
    <row r="8" spans="2:14" x14ac:dyDescent="0.4">
      <c r="B8" s="138"/>
      <c r="C8" s="138"/>
      <c r="D8" s="138"/>
      <c r="E8" s="138"/>
      <c r="F8" s="138"/>
      <c r="G8" s="138"/>
      <c r="H8" s="138"/>
      <c r="I8" s="138"/>
      <c r="J8" s="138"/>
      <c r="K8" s="138"/>
      <c r="L8" s="138"/>
      <c r="M8" s="138"/>
      <c r="N8" s="138"/>
    </row>
    <row r="9" spans="2:14" x14ac:dyDescent="0.4">
      <c r="B9" s="138"/>
      <c r="C9" s="138"/>
      <c r="D9" s="138"/>
      <c r="E9" s="138"/>
      <c r="F9" s="138"/>
      <c r="G9" s="138"/>
      <c r="H9" s="138"/>
      <c r="I9" s="138"/>
      <c r="J9" s="138"/>
      <c r="K9" s="138"/>
      <c r="L9" s="138"/>
      <c r="M9" s="138"/>
      <c r="N9" s="138"/>
    </row>
    <row r="10" spans="2:14" x14ac:dyDescent="0.4">
      <c r="B10" s="138"/>
      <c r="C10" s="138"/>
      <c r="D10" s="138"/>
      <c r="E10" s="138"/>
      <c r="F10" s="138"/>
      <c r="G10" s="138"/>
      <c r="H10" s="138"/>
      <c r="I10" s="138"/>
      <c r="J10" s="138"/>
      <c r="K10" s="138"/>
      <c r="L10" s="138"/>
      <c r="M10" s="138"/>
      <c r="N10" s="138"/>
    </row>
    <row r="11" spans="2:14" x14ac:dyDescent="0.4">
      <c r="B11" s="138"/>
      <c r="C11" s="138"/>
      <c r="D11" s="138"/>
      <c r="E11" s="138"/>
      <c r="F11" s="138"/>
      <c r="G11" s="138"/>
      <c r="H11" s="138"/>
      <c r="I11" s="138"/>
      <c r="J11" s="138"/>
      <c r="K11" s="138"/>
      <c r="L11" s="138"/>
      <c r="M11" s="138"/>
      <c r="N11" s="138"/>
    </row>
    <row r="12" spans="2:14" x14ac:dyDescent="0.4">
      <c r="B12" s="111"/>
      <c r="C12" s="111"/>
      <c r="D12" s="111"/>
      <c r="E12" s="111"/>
      <c r="F12" s="111"/>
      <c r="G12" s="111"/>
      <c r="H12" s="111"/>
      <c r="I12" s="111"/>
      <c r="J12" s="111"/>
      <c r="K12" s="111"/>
      <c r="L12" s="111"/>
      <c r="M12" s="111"/>
      <c r="N12" s="111"/>
    </row>
    <row r="13" spans="2:14" x14ac:dyDescent="0.4">
      <c r="B13" s="111"/>
      <c r="C13" s="112" t="s">
        <v>139</v>
      </c>
      <c r="D13" s="114">
        <v>120000</v>
      </c>
      <c r="E13" s="117"/>
      <c r="F13" s="111"/>
      <c r="G13" s="111"/>
      <c r="H13" s="111"/>
      <c r="I13" s="111"/>
      <c r="J13" s="111"/>
      <c r="K13" s="111"/>
      <c r="L13" s="111"/>
      <c r="M13" s="111"/>
      <c r="N13" s="111"/>
    </row>
    <row r="14" spans="2:14" x14ac:dyDescent="0.4">
      <c r="B14" s="111"/>
      <c r="C14" s="112" t="s">
        <v>166</v>
      </c>
      <c r="D14" s="114">
        <v>150000</v>
      </c>
      <c r="E14" s="117"/>
      <c r="F14" s="111"/>
      <c r="G14" s="111"/>
      <c r="H14" s="111"/>
      <c r="I14" s="111"/>
      <c r="J14" s="111"/>
      <c r="K14" s="111"/>
      <c r="L14" s="111"/>
      <c r="M14" s="111"/>
      <c r="N14" s="111"/>
    </row>
    <row r="15" spans="2:14" x14ac:dyDescent="0.4">
      <c r="B15" s="111"/>
      <c r="C15" s="112" t="s">
        <v>68</v>
      </c>
      <c r="D15" s="118">
        <v>3.6999999999999998E-2</v>
      </c>
      <c r="E15" s="117"/>
      <c r="F15" s="111"/>
      <c r="G15" s="111"/>
      <c r="H15" s="111"/>
      <c r="I15" s="111"/>
      <c r="J15" s="111"/>
      <c r="K15" s="111"/>
      <c r="L15" s="111"/>
      <c r="M15" s="111"/>
      <c r="N15" s="111"/>
    </row>
    <row r="16" spans="2:14" ht="20.100000000000001" customHeight="1" x14ac:dyDescent="0.4">
      <c r="B16" s="111"/>
      <c r="C16" s="112" t="s">
        <v>67</v>
      </c>
      <c r="D16" s="113">
        <v>0.1</v>
      </c>
      <c r="E16" s="117" t="s">
        <v>167</v>
      </c>
      <c r="F16" s="111"/>
      <c r="G16" s="111"/>
      <c r="H16" s="111"/>
      <c r="I16" s="111"/>
      <c r="J16" s="111"/>
      <c r="K16" s="111"/>
      <c r="L16" s="111"/>
      <c r="M16" s="111"/>
      <c r="N16" s="111"/>
    </row>
    <row r="17" spans="3:7" x14ac:dyDescent="0.4">
      <c r="C17" s="26" t="s">
        <v>68</v>
      </c>
      <c r="D17" s="104">
        <v>3.6999999999999998E-2</v>
      </c>
      <c r="E17" s="52" t="s">
        <v>168</v>
      </c>
    </row>
    <row r="20" spans="3:7" ht="24.6" x14ac:dyDescent="0.55000000000000004">
      <c r="C20" s="52" t="s">
        <v>169</v>
      </c>
      <c r="D20" s="116">
        <f>LN(D14/D13)/LN(1+D15)</f>
        <v>6.1418029798194276</v>
      </c>
    </row>
    <row r="21" spans="3:7" ht="24.6" x14ac:dyDescent="0.55000000000000004">
      <c r="C21" s="52" t="s">
        <v>170</v>
      </c>
      <c r="D21" s="116">
        <f>LN(D14*(1+D17)/(D13*(1+D16)))/LN(1+D17)</f>
        <v>4.518485644939088</v>
      </c>
      <c r="G21" s="110"/>
    </row>
    <row r="22" spans="3:7" x14ac:dyDescent="0.4">
      <c r="G22" s="110"/>
    </row>
    <row r="23" spans="3:7" x14ac:dyDescent="0.4">
      <c r="G23" s="119"/>
    </row>
  </sheetData>
  <mergeCells count="1">
    <mergeCell ref="B2:N11"/>
  </mergeCells>
  <pageMargins left="0.7" right="0.7" top="0.75" bottom="0.75" header="0.3" footer="0.3"/>
  <pageSetup paperSize="9" scale="5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30</vt:i4>
      </vt:variant>
      <vt:variant>
        <vt:lpstr>Intervalli denominati</vt:lpstr>
      </vt:variant>
      <vt:variant>
        <vt:i4>1</vt:i4>
      </vt:variant>
    </vt:vector>
  </HeadingPairs>
  <TitlesOfParts>
    <vt:vector size="31" baseType="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'5'!Area_stampa</vt:lpstr>
    </vt:vector>
  </TitlesOfParts>
  <Company>KPMG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KPMG</dc:creator>
  <cp:lastModifiedBy>Zelda Marino</cp:lastModifiedBy>
  <cp:lastPrinted>2019-09-30T11:55:19Z</cp:lastPrinted>
  <dcterms:created xsi:type="dcterms:W3CDTF">2011-09-24T10:42:39Z</dcterms:created>
  <dcterms:modified xsi:type="dcterms:W3CDTF">2023-10-24T12:10:00Z</dcterms:modified>
</cp:coreProperties>
</file>