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elda\ownCloud\DIDATTICA\FINANZIARIA\EA\"/>
    </mc:Choice>
  </mc:AlternateContent>
  <bookViews>
    <workbookView xWindow="12708" yWindow="48" windowWidth="7692" windowHeight="7716" tabRatio="500" activeTab="3"/>
  </bookViews>
  <sheets>
    <sheet name="DUR_ES1" sheetId="18" r:id="rId1"/>
    <sheet name="DUR_ES2" sheetId="7" r:id="rId2"/>
    <sheet name="DUR_ES3" sheetId="2" r:id="rId3"/>
    <sheet name="DUR_ES4" sheetId="3" r:id="rId4"/>
    <sheet name="DUR_ES5" sheetId="4" r:id="rId5"/>
    <sheet name="DUR_ES6" sheetId="10" r:id="rId6"/>
    <sheet name="DUR_ES7" sheetId="12" r:id="rId7"/>
    <sheet name="DUR_ES8" sheetId="15" r:id="rId8"/>
    <sheet name="DUR_ES9" sheetId="14" r:id="rId9"/>
  </sheets>
  <calcPr calcId="162913"/>
</workbook>
</file>

<file path=xl/calcChain.xml><?xml version="1.0" encoding="utf-8"?>
<calcChain xmlns="http://schemas.openxmlformats.org/spreadsheetml/2006/main">
  <c r="D12" i="4" l="1"/>
  <c r="E35" i="15" l="1"/>
  <c r="E36" i="15"/>
  <c r="G30" i="15"/>
  <c r="G29" i="15"/>
  <c r="G28" i="15"/>
  <c r="G27" i="15"/>
  <c r="E19" i="15"/>
  <c r="E21" i="15" s="1"/>
  <c r="I18" i="14"/>
  <c r="I12" i="14"/>
  <c r="I13" i="14"/>
  <c r="I14" i="14"/>
  <c r="I15" i="14"/>
  <c r="I16" i="14"/>
  <c r="I17" i="14"/>
  <c r="H13" i="14"/>
  <c r="H14" i="14"/>
  <c r="H15" i="14"/>
  <c r="H16" i="14"/>
  <c r="H17" i="14"/>
  <c r="H18" i="14"/>
  <c r="H12" i="14"/>
  <c r="J12" i="14" s="1"/>
  <c r="K12" i="14" s="1"/>
  <c r="C17" i="12"/>
  <c r="H15" i="12" s="1"/>
  <c r="C16" i="12"/>
  <c r="I16" i="12" l="1"/>
  <c r="H17" i="12"/>
  <c r="H14" i="12"/>
  <c r="I14" i="12"/>
  <c r="I17" i="12"/>
  <c r="H16" i="12"/>
  <c r="J16" i="12" s="1"/>
  <c r="K16" i="12" s="1"/>
  <c r="I15" i="12"/>
  <c r="J15" i="12" s="1"/>
  <c r="K15" i="12" s="1"/>
  <c r="H27" i="15"/>
  <c r="H28" i="15"/>
  <c r="I28" i="15" s="1"/>
  <c r="H29" i="15"/>
  <c r="I29" i="15" s="1"/>
  <c r="H30" i="15"/>
  <c r="I30" i="15" s="1"/>
  <c r="J13" i="14"/>
  <c r="K13" i="14" s="1"/>
  <c r="K19" i="14" s="1"/>
  <c r="J14" i="14"/>
  <c r="K14" i="14" s="1"/>
  <c r="J15" i="14"/>
  <c r="K15" i="14" s="1"/>
  <c r="J16" i="14"/>
  <c r="K16" i="14" s="1"/>
  <c r="J17" i="14"/>
  <c r="K17" i="14" s="1"/>
  <c r="J18" i="14"/>
  <c r="K18" i="14" s="1"/>
  <c r="D30" i="10"/>
  <c r="E19" i="10"/>
  <c r="H19" i="10" s="1"/>
  <c r="I19" i="10" s="1"/>
  <c r="J19" i="10" s="1"/>
  <c r="E18" i="10"/>
  <c r="H18" i="10" s="1"/>
  <c r="I18" i="10" s="1"/>
  <c r="J18" i="10" s="1"/>
  <c r="E17" i="10"/>
  <c r="H17" i="10" s="1"/>
  <c r="I17" i="10" s="1"/>
  <c r="J17" i="10" s="1"/>
  <c r="E16" i="10"/>
  <c r="H16" i="10" s="1"/>
  <c r="I16" i="10" s="1"/>
  <c r="J16" i="10" s="1"/>
  <c r="D40" i="7"/>
  <c r="D34" i="7"/>
  <c r="F34" i="7" s="1"/>
  <c r="D33" i="7"/>
  <c r="F33" i="7" s="1"/>
  <c r="D32" i="7"/>
  <c r="F32" i="7" s="1"/>
  <c r="D31" i="7"/>
  <c r="F31" i="7" s="1"/>
  <c r="D23" i="7"/>
  <c r="D25" i="7" s="1"/>
  <c r="D33" i="18"/>
  <c r="F33" i="18" s="1"/>
  <c r="D32" i="18"/>
  <c r="F32" i="18" s="1"/>
  <c r="D31" i="18"/>
  <c r="F31" i="18" s="1"/>
  <c r="D30" i="18"/>
  <c r="F30" i="18" s="1"/>
  <c r="D22" i="18"/>
  <c r="D24" i="18" s="1"/>
  <c r="E9" i="4"/>
  <c r="B17" i="2"/>
  <c r="F17" i="2" s="1"/>
  <c r="C17" i="2"/>
  <c r="B18" i="2"/>
  <c r="F18" i="2" s="1"/>
  <c r="C18" i="2"/>
  <c r="B19" i="2"/>
  <c r="C20" i="2"/>
  <c r="F20" i="2"/>
  <c r="B30" i="2"/>
  <c r="I30" i="2" s="1"/>
  <c r="C30" i="2"/>
  <c r="E30" i="2"/>
  <c r="B31" i="2"/>
  <c r="C31" i="2"/>
  <c r="D31" i="2"/>
  <c r="E31" i="2"/>
  <c r="B32" i="2"/>
  <c r="D32" i="2"/>
  <c r="E32" i="2"/>
  <c r="C33" i="2"/>
  <c r="D33" i="2"/>
  <c r="E33" i="2"/>
  <c r="B23" i="3"/>
  <c r="C23" i="3"/>
  <c r="D23" i="3"/>
  <c r="B24" i="3"/>
  <c r="C24" i="3"/>
  <c r="D24" i="3"/>
  <c r="B25" i="3"/>
  <c r="C25" i="3"/>
  <c r="D25" i="3"/>
  <c r="B26" i="3"/>
  <c r="C26" i="3"/>
  <c r="D26" i="3"/>
  <c r="C34" i="3"/>
  <c r="C35" i="3"/>
  <c r="C36" i="3"/>
  <c r="C37" i="3"/>
  <c r="D10" i="4"/>
  <c r="J14" i="12" l="1"/>
  <c r="K14" i="12" s="1"/>
  <c r="J17" i="12"/>
  <c r="K17" i="12" s="1"/>
  <c r="E33" i="18"/>
  <c r="G33" i="18" s="1"/>
  <c r="H33" i="18" s="1"/>
  <c r="E32" i="18"/>
  <c r="G32" i="18" s="1"/>
  <c r="H32" i="18" s="1"/>
  <c r="E30" i="18"/>
  <c r="G30" i="18" s="1"/>
  <c r="E31" i="18"/>
  <c r="G31" i="18" s="1"/>
  <c r="H31" i="18" s="1"/>
  <c r="H31" i="15"/>
  <c r="I27" i="15"/>
  <c r="I31" i="15" s="1"/>
  <c r="J19" i="14"/>
  <c r="D39" i="7"/>
  <c r="J20" i="10"/>
  <c r="I20" i="10"/>
  <c r="H30" i="18"/>
  <c r="H34" i="18" s="1"/>
  <c r="G27" i="3"/>
  <c r="H27" i="3" s="1"/>
  <c r="I27" i="3" s="1"/>
  <c r="G25" i="3"/>
  <c r="H25" i="3" s="1"/>
  <c r="G24" i="3"/>
  <c r="H24" i="3" s="1"/>
  <c r="G26" i="3"/>
  <c r="H26" i="3" s="1"/>
  <c r="I26" i="3" s="1"/>
  <c r="G20" i="2"/>
  <c r="H20" i="2" s="1"/>
  <c r="G18" i="2"/>
  <c r="H18" i="2" s="1"/>
  <c r="E32" i="7"/>
  <c r="E33" i="7"/>
  <c r="G33" i="7" s="1"/>
  <c r="H33" i="7" s="1"/>
  <c r="E31" i="7"/>
  <c r="G31" i="7" s="1"/>
  <c r="H31" i="7" s="1"/>
  <c r="E34" i="7"/>
  <c r="G34" i="7" s="1"/>
  <c r="H34" i="7" s="1"/>
  <c r="G32" i="7"/>
  <c r="H32" i="7" s="1"/>
  <c r="I25" i="3"/>
  <c r="G17" i="2"/>
  <c r="H30" i="2"/>
  <c r="F19" i="2"/>
  <c r="G19" i="2" s="1"/>
  <c r="H19" i="2" s="1"/>
  <c r="G34" i="18" l="1"/>
  <c r="H35" i="18"/>
  <c r="K18" i="12"/>
  <c r="J18" i="12"/>
  <c r="I32" i="15"/>
  <c r="E37" i="15" s="1"/>
  <c r="K20" i="14"/>
  <c r="J22" i="10"/>
  <c r="D33" i="10" s="1"/>
  <c r="H35" i="7"/>
  <c r="G35" i="7"/>
  <c r="H28" i="3"/>
  <c r="I24" i="3"/>
  <c r="I28" i="3" s="1"/>
  <c r="H17" i="2"/>
  <c r="H21" i="2" s="1"/>
  <c r="G21" i="2"/>
  <c r="D34" i="10" l="1"/>
  <c r="K19" i="12"/>
  <c r="H36" i="7"/>
  <c r="D41" i="7" s="1"/>
  <c r="I30" i="3"/>
  <c r="C41" i="3" s="1"/>
  <c r="H23" i="2"/>
  <c r="F39" i="2" s="1"/>
  <c r="C42" i="3" l="1"/>
</calcChain>
</file>

<file path=xl/sharedStrings.xml><?xml version="1.0" encoding="utf-8"?>
<sst xmlns="http://schemas.openxmlformats.org/spreadsheetml/2006/main" count="159" uniqueCount="85">
  <si>
    <t>αW(0,x)+βW(0,y)=W(0,z)</t>
    <phoneticPr fontId="1" type="noConversion"/>
  </si>
  <si>
    <t>αD(0,x)W(0,x)+βD(0,y)W(0,y)=D(0,z)W(0,z)</t>
    <phoneticPr fontId="1" type="noConversion"/>
  </si>
  <si>
    <t>{</t>
    <phoneticPr fontId="1" type="noConversion"/>
  </si>
  <si>
    <t>si deve risolvere il sistema</t>
    <phoneticPr fontId="1" type="noConversion"/>
  </si>
  <si>
    <t>Linearita' del Valore Attuale</t>
    <phoneticPr fontId="1" type="noConversion"/>
  </si>
  <si>
    <t>Linearita' della Dollar Duration</t>
    <phoneticPr fontId="1" type="noConversion"/>
  </si>
  <si>
    <r>
      <t>D(0,x</t>
    </r>
    <r>
      <rPr>
        <b/>
        <vertAlign val="subscript"/>
        <sz val="14"/>
        <rFont val="Verdana"/>
        <family val="2"/>
      </rPr>
      <t>1</t>
    </r>
    <r>
      <rPr>
        <b/>
        <sz val="14"/>
        <rFont val="Verdana"/>
        <family val="2"/>
      </rPr>
      <t>)=</t>
    </r>
  </si>
  <si>
    <t>α1=</t>
    <phoneticPr fontId="1" type="noConversion"/>
  </si>
  <si>
    <t>scadenzario t</t>
    <phoneticPr fontId="1" type="noConversion"/>
  </si>
  <si>
    <t>tassi a pronti</t>
    <phoneticPr fontId="1" type="noConversion"/>
  </si>
  <si>
    <t>anni</t>
    <phoneticPr fontId="1" type="noConversion"/>
  </si>
  <si>
    <t>DATI 2</t>
    <phoneticPr fontId="1" type="noConversion"/>
  </si>
  <si>
    <t>DATI 1</t>
    <phoneticPr fontId="1" type="noConversion"/>
  </si>
  <si>
    <t>DATI</t>
    <phoneticPr fontId="1" type="noConversion"/>
  </si>
  <si>
    <t>DATI</t>
    <phoneticPr fontId="1" type="noConversion"/>
  </si>
  <si>
    <r>
      <t>titolo x</t>
    </r>
    <r>
      <rPr>
        <vertAlign val="subscript"/>
        <sz val="14"/>
        <rFont val="Verdana"/>
        <family val="2"/>
      </rPr>
      <t>1</t>
    </r>
    <phoneticPr fontId="1" type="noConversion"/>
  </si>
  <si>
    <t>scadenzario t</t>
    <phoneticPr fontId="1" type="noConversion"/>
  </si>
  <si>
    <t>tassi a pronti</t>
  </si>
  <si>
    <t>tassi a pronti</t>
    <phoneticPr fontId="1" type="noConversion"/>
  </si>
  <si>
    <r>
      <t>Calcolo Duration titolo x</t>
    </r>
    <r>
      <rPr>
        <vertAlign val="subscript"/>
        <sz val="14"/>
        <rFont val="Verdana"/>
        <family val="2"/>
      </rPr>
      <t>1</t>
    </r>
    <phoneticPr fontId="1" type="noConversion"/>
  </si>
  <si>
    <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  <phoneticPr fontId="1" type="noConversion"/>
  </si>
  <si>
    <r>
      <t>x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  <phoneticPr fontId="1" type="noConversion"/>
  </si>
  <si>
    <r>
      <t>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x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  <phoneticPr fontId="1" type="noConversion"/>
  </si>
  <si>
    <r>
      <t>Valore Attuale x</t>
    </r>
    <r>
      <rPr>
        <vertAlign val="subscript"/>
        <sz val="14"/>
        <rFont val="Verdana"/>
        <family val="2"/>
      </rPr>
      <t>1</t>
    </r>
    <r>
      <rPr>
        <sz val="14"/>
        <rFont val="Verdana"/>
        <family val="2"/>
      </rPr>
      <t>=</t>
    </r>
    <phoneticPr fontId="1" type="noConversion"/>
  </si>
  <si>
    <r>
      <t xml:space="preserve"> =Σt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x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  <phoneticPr fontId="1" type="noConversion"/>
  </si>
  <si>
    <t>ZCB</t>
    <phoneticPr fontId="1" type="noConversion"/>
  </si>
  <si>
    <r>
      <t>12+α</t>
    </r>
    <r>
      <rPr>
        <vertAlign val="subscript"/>
        <sz val="14"/>
        <rFont val="Verdana"/>
        <family val="2"/>
      </rPr>
      <t>2</t>
    </r>
    <r>
      <rPr>
        <sz val="14"/>
        <rFont val="Verdana"/>
        <family val="2"/>
      </rPr>
      <t>100</t>
    </r>
    <phoneticPr fontId="1" type="noConversion"/>
  </si>
  <si>
    <r>
      <t>x=α</t>
    </r>
    <r>
      <rPr>
        <b/>
        <vertAlign val="subscript"/>
        <sz val="14"/>
        <rFont val="Verdana"/>
        <family val="2"/>
      </rPr>
      <t>1</t>
    </r>
    <r>
      <rPr>
        <b/>
        <sz val="14"/>
        <rFont val="Verdana"/>
        <family val="2"/>
      </rPr>
      <t>x</t>
    </r>
    <r>
      <rPr>
        <b/>
        <vertAlign val="subscript"/>
        <sz val="14"/>
        <rFont val="Verdana"/>
        <family val="2"/>
      </rPr>
      <t>1</t>
    </r>
    <r>
      <rPr>
        <b/>
        <sz val="14"/>
        <rFont val="Verdana"/>
        <family val="2"/>
      </rPr>
      <t>+α</t>
    </r>
    <r>
      <rPr>
        <b/>
        <vertAlign val="subscript"/>
        <sz val="14"/>
        <rFont val="Verdana"/>
        <family val="2"/>
      </rPr>
      <t>2</t>
    </r>
    <r>
      <rPr>
        <b/>
        <sz val="14"/>
        <rFont val="Verdana"/>
        <family val="2"/>
      </rPr>
      <t>ZCB</t>
    </r>
    <phoneticPr fontId="1" type="noConversion"/>
  </si>
  <si>
    <r>
      <t xml:space="preserve">titolo </t>
    </r>
    <r>
      <rPr>
        <b/>
        <sz val="14"/>
        <rFont val="Verdana"/>
        <family val="2"/>
      </rPr>
      <t>x</t>
    </r>
    <r>
      <rPr>
        <vertAlign val="subscript"/>
        <sz val="14"/>
        <rFont val="Verdana"/>
        <family val="2"/>
      </rPr>
      <t>1</t>
    </r>
    <phoneticPr fontId="1" type="noConversion"/>
  </si>
  <si>
    <t>Dati di Input</t>
  </si>
  <si>
    <t>t</t>
  </si>
  <si>
    <t>titolo X</t>
  </si>
  <si>
    <t>anni</t>
  </si>
  <si>
    <t>3 mesi =</t>
    <phoneticPr fontId="1" type="noConversion"/>
  </si>
  <si>
    <t>δ=</t>
    <phoneticPr fontId="1" type="noConversion"/>
  </si>
  <si>
    <r>
      <t>anni</t>
    </r>
    <r>
      <rPr>
        <vertAlign val="superscript"/>
        <sz val="14"/>
        <rFont val="Verdana"/>
        <family val="2"/>
      </rPr>
      <t>-1</t>
    </r>
    <phoneticPr fontId="1" type="noConversion"/>
  </si>
  <si>
    <t>DATI</t>
    <phoneticPr fontId="1" type="noConversion"/>
  </si>
  <si>
    <t>Vita a scadenza ZCB=</t>
    <phoneticPr fontId="1" type="noConversion"/>
  </si>
  <si>
    <t>semielasticita'=</t>
    <phoneticPr fontId="1" type="noConversion"/>
  </si>
  <si>
    <t>V(0,x2)</t>
  </si>
  <si>
    <t>D(0,x2)</t>
  </si>
  <si>
    <t>dati di input</t>
  </si>
  <si>
    <t>C</t>
  </si>
  <si>
    <t>T</t>
  </si>
  <si>
    <t>cedole</t>
  </si>
  <si>
    <t>semestrali</t>
  </si>
  <si>
    <t>tasso nominale</t>
  </si>
  <si>
    <t>s</t>
  </si>
  <si>
    <t>i(0,s)</t>
  </si>
  <si>
    <t>cedola</t>
  </si>
  <si>
    <t>xs</t>
  </si>
  <si>
    <t>v(0,s)</t>
  </si>
  <si>
    <t>V(0,xs)</t>
  </si>
  <si>
    <t>s*V(0,xs)</t>
  </si>
  <si>
    <t>duration</t>
  </si>
  <si>
    <t>alpha1</t>
  </si>
  <si>
    <t>ZCB T</t>
  </si>
  <si>
    <t>ZCB C</t>
  </si>
  <si>
    <t>D(0,x)</t>
  </si>
  <si>
    <t>V(0,ZCB)</t>
  </si>
  <si>
    <t>V(0,x)</t>
  </si>
  <si>
    <t>alpha2</t>
  </si>
  <si>
    <r>
      <t xml:space="preserve">titolo </t>
    </r>
    <r>
      <rPr>
        <b/>
        <sz val="14"/>
        <rFont val="Verdana"/>
        <family val="2"/>
      </rPr>
      <t>z</t>
    </r>
  </si>
  <si>
    <r>
      <t xml:space="preserve">Calcolo Duration titolo </t>
    </r>
    <r>
      <rPr>
        <b/>
        <sz val="14"/>
        <rFont val="Verdana"/>
        <family val="2"/>
      </rPr>
      <t>z</t>
    </r>
  </si>
  <si>
    <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</si>
  <si>
    <r>
      <t>z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</si>
  <si>
    <r>
      <t>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z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</si>
  <si>
    <r>
      <t>W(0,</t>
    </r>
    <r>
      <rPr>
        <b/>
        <sz val="14"/>
        <rFont val="Verdana"/>
        <family val="2"/>
      </rPr>
      <t>z</t>
    </r>
    <r>
      <rPr>
        <sz val="14"/>
        <rFont val="Verdana"/>
        <family val="2"/>
      </rPr>
      <t>)=</t>
    </r>
  </si>
  <si>
    <r>
      <t xml:space="preserve"> =Σt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z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v(0,t</t>
    </r>
    <r>
      <rPr>
        <vertAlign val="subscript"/>
        <sz val="14"/>
        <rFont val="Verdana"/>
        <family val="2"/>
      </rPr>
      <t>k</t>
    </r>
    <r>
      <rPr>
        <sz val="14"/>
        <rFont val="Verdana"/>
        <family val="2"/>
      </rPr>
      <t>)</t>
    </r>
  </si>
  <si>
    <r>
      <t>D(0,</t>
    </r>
    <r>
      <rPr>
        <b/>
        <sz val="14"/>
        <rFont val="Verdana"/>
        <family val="2"/>
      </rPr>
      <t>z</t>
    </r>
    <r>
      <rPr>
        <sz val="14"/>
        <rFont val="Verdana"/>
        <family val="2"/>
      </rPr>
      <t>)=</t>
    </r>
  </si>
  <si>
    <r>
      <t>W(0,</t>
    </r>
    <r>
      <rPr>
        <b/>
        <sz val="14"/>
        <rFont val="Verdana"/>
        <family val="2"/>
      </rPr>
      <t>x</t>
    </r>
    <r>
      <rPr>
        <sz val="14"/>
        <rFont val="Verdana"/>
        <family val="2"/>
      </rPr>
      <t>)=</t>
    </r>
  </si>
  <si>
    <r>
      <t>W(0,</t>
    </r>
    <r>
      <rPr>
        <b/>
        <sz val="14"/>
        <rFont val="Verdana"/>
        <family val="2"/>
      </rPr>
      <t>y</t>
    </r>
    <r>
      <rPr>
        <sz val="14"/>
        <rFont val="Verdana"/>
        <family val="2"/>
      </rPr>
      <t>)=</t>
    </r>
  </si>
  <si>
    <r>
      <t>D(0,</t>
    </r>
    <r>
      <rPr>
        <b/>
        <sz val="14"/>
        <rFont val="Verdana"/>
        <family val="2"/>
      </rPr>
      <t>x</t>
    </r>
    <r>
      <rPr>
        <sz val="14"/>
        <rFont val="Verdana"/>
        <family val="2"/>
      </rPr>
      <t>)=</t>
    </r>
  </si>
  <si>
    <r>
      <t>Chi sono α e β affinche' il portafoglio α</t>
    </r>
    <r>
      <rPr>
        <b/>
        <sz val="14"/>
        <rFont val="Verdana"/>
        <family val="2"/>
      </rPr>
      <t>x</t>
    </r>
    <r>
      <rPr>
        <sz val="14"/>
        <rFont val="Verdana"/>
        <family val="2"/>
      </rPr>
      <t>+β</t>
    </r>
    <r>
      <rPr>
        <b/>
        <sz val="14"/>
        <rFont val="Verdana"/>
        <family val="2"/>
      </rPr>
      <t>y</t>
    </r>
    <r>
      <rPr>
        <sz val="14"/>
        <rFont val="Verdana"/>
        <family val="2"/>
      </rPr>
      <t xml:space="preserve"> sia tale che W(0,α</t>
    </r>
    <r>
      <rPr>
        <b/>
        <sz val="14"/>
        <rFont val="Verdana"/>
        <family val="2"/>
      </rPr>
      <t>x</t>
    </r>
    <r>
      <rPr>
        <sz val="14"/>
        <rFont val="Verdana"/>
        <family val="2"/>
      </rPr>
      <t>+β</t>
    </r>
    <r>
      <rPr>
        <b/>
        <sz val="14"/>
        <rFont val="Verdana"/>
        <family val="2"/>
      </rPr>
      <t>y</t>
    </r>
    <r>
      <rPr>
        <sz val="14"/>
        <rFont val="Verdana"/>
        <family val="2"/>
      </rPr>
      <t>)=W(0,</t>
    </r>
    <r>
      <rPr>
        <b/>
        <sz val="14"/>
        <rFont val="Verdana"/>
        <family val="2"/>
      </rPr>
      <t>z</t>
    </r>
    <r>
      <rPr>
        <sz val="14"/>
        <rFont val="Verdana"/>
        <family val="2"/>
      </rPr>
      <t>) e D(0,α</t>
    </r>
    <r>
      <rPr>
        <b/>
        <sz val="14"/>
        <rFont val="Verdana"/>
        <family val="2"/>
      </rPr>
      <t>x</t>
    </r>
    <r>
      <rPr>
        <sz val="14"/>
        <rFont val="Verdana"/>
        <family val="2"/>
      </rPr>
      <t>+β</t>
    </r>
    <r>
      <rPr>
        <b/>
        <sz val="14"/>
        <rFont val="Verdana"/>
        <family val="2"/>
      </rPr>
      <t>y</t>
    </r>
    <r>
      <rPr>
        <sz val="14"/>
        <rFont val="Verdana"/>
        <family val="2"/>
      </rPr>
      <t>)=D(0,</t>
    </r>
    <r>
      <rPr>
        <b/>
        <sz val="14"/>
        <rFont val="Verdana"/>
        <family val="2"/>
      </rPr>
      <t>z</t>
    </r>
    <r>
      <rPr>
        <sz val="14"/>
        <rFont val="Verdana"/>
        <family val="2"/>
      </rPr>
      <t>)?</t>
    </r>
  </si>
  <si>
    <r>
      <t>D(0,</t>
    </r>
    <r>
      <rPr>
        <b/>
        <sz val="14"/>
        <rFont val="Verdana"/>
        <family val="2"/>
      </rPr>
      <t>y</t>
    </r>
    <r>
      <rPr>
        <sz val="14"/>
        <rFont val="Verdana"/>
        <family val="2"/>
      </rPr>
      <t>)=</t>
    </r>
  </si>
  <si>
    <t>alpha</t>
  </si>
  <si>
    <t>beta</t>
  </si>
  <si>
    <t>V(0,y)</t>
  </si>
  <si>
    <t>D(0,y)</t>
  </si>
  <si>
    <t>tasso cedolare</t>
  </si>
  <si>
    <t>time to maturity</t>
  </si>
  <si>
    <t>xk</t>
  </si>
  <si>
    <t>duration=</t>
  </si>
  <si>
    <t>intensità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</si>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</sst>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0.000"/>
    <numFmt numFmtId="167" formatCode="0.00000"/>
    <numFmt numFmtId="168" formatCode="0.0000"/>
  </numFmts>
  <fonts count="15" x14ac:knownFonts="1">
    <font>
      <sz val="10"/>
      <name val="Verdana"/>
    </font>
    <font>
      <sz val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vertAlign val="subscript"/>
      <sz val="14"/>
      <name val="Verdana"/>
      <family val="2"/>
    </font>
    <font>
      <b/>
      <vertAlign val="subscript"/>
      <sz val="14"/>
      <name val="Verdana"/>
      <family val="2"/>
    </font>
    <font>
      <sz val="16"/>
      <name val="Verdana"/>
      <family val="2"/>
    </font>
    <font>
      <sz val="36"/>
      <name val="Wingdings"/>
      <charset val="2"/>
    </font>
    <font>
      <sz val="20"/>
      <name val="Verdana"/>
      <family val="2"/>
    </font>
    <font>
      <vertAlign val="superscript"/>
      <sz val="14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/>
    <xf numFmtId="0" fontId="2" fillId="0" borderId="0" xfId="0" applyFont="1" applyAlignment="1">
      <alignment horizontal="right"/>
    </xf>
    <xf numFmtId="0" fontId="2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/>
    <xf numFmtId="0" fontId="13" fillId="0" borderId="0" xfId="2" applyFont="1"/>
    <xf numFmtId="0" fontId="13" fillId="2" borderId="1" xfId="2" applyFont="1" applyFill="1" applyBorder="1"/>
    <xf numFmtId="166" fontId="2" fillId="4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13" fillId="8" borderId="1" xfId="2" applyFont="1" applyFill="1" applyBorder="1"/>
    <xf numFmtId="0" fontId="13" fillId="7" borderId="1" xfId="2" applyFont="1" applyFill="1" applyBorder="1"/>
    <xf numFmtId="0" fontId="14" fillId="0" borderId="0" xfId="0" applyFont="1"/>
    <xf numFmtId="0" fontId="14" fillId="0" borderId="1" xfId="0" applyFont="1" applyBorder="1"/>
    <xf numFmtId="0" fontId="14" fillId="7" borderId="1" xfId="0" applyFont="1" applyFill="1" applyBorder="1"/>
    <xf numFmtId="0" fontId="14" fillId="9" borderId="1" xfId="0" applyFont="1" applyFill="1" applyBorder="1"/>
    <xf numFmtId="0" fontId="14" fillId="6" borderId="1" xfId="0" applyFont="1" applyFill="1" applyBorder="1"/>
    <xf numFmtId="168" fontId="14" fillId="0" borderId="0" xfId="0" applyNumberFormat="1" applyFont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68" fontId="14" fillId="0" borderId="1" xfId="0" applyNumberFormat="1" applyFont="1" applyBorder="1"/>
    <xf numFmtId="168" fontId="14" fillId="6" borderId="1" xfId="0" applyNumberFormat="1" applyFont="1" applyFill="1" applyBorder="1"/>
    <xf numFmtId="0" fontId="13" fillId="7" borderId="1" xfId="2" applyFont="1" applyFill="1" applyBorder="1" applyAlignment="1">
      <alignment horizontal="center"/>
    </xf>
    <xf numFmtId="0" fontId="2" fillId="6" borderId="0" xfId="0" applyFont="1" applyFill="1"/>
    <xf numFmtId="0" fontId="14" fillId="7" borderId="1" xfId="0" applyFont="1" applyFill="1" applyBorder="1" applyAlignment="1">
      <alignment horizontal="right"/>
    </xf>
    <xf numFmtId="0" fontId="14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/>
    <xf numFmtId="0" fontId="11" fillId="10" borderId="1" xfId="2" applyFont="1" applyFill="1" applyBorder="1" applyAlignment="1">
      <alignment horizontal="right"/>
    </xf>
    <xf numFmtId="0" fontId="11" fillId="10" borderId="1" xfId="2" applyFont="1" applyFill="1" applyBorder="1" applyAlignment="1">
      <alignment horizontal="left"/>
    </xf>
    <xf numFmtId="0" fontId="2" fillId="6" borderId="1" xfId="0" applyFont="1" applyFill="1" applyBorder="1" applyAlignment="1"/>
    <xf numFmtId="0" fontId="11" fillId="7" borderId="1" xfId="2" applyFont="1" applyFill="1" applyBorder="1"/>
    <xf numFmtId="0" fontId="3" fillId="9" borderId="1" xfId="0" applyFont="1" applyFill="1" applyBorder="1" applyAlignment="1">
      <alignment horizontal="center"/>
    </xf>
    <xf numFmtId="0" fontId="11" fillId="9" borderId="1" xfId="2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right"/>
    </xf>
    <xf numFmtId="165" fontId="2" fillId="2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2" fillId="3" borderId="10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0" fontId="2" fillId="3" borderId="9" xfId="0" applyFont="1" applyFill="1" applyBorder="1" applyAlignment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/>
    <xf numFmtId="0" fontId="2" fillId="3" borderId="13" xfId="0" applyFont="1" applyFill="1" applyBorder="1" applyAlignment="1"/>
    <xf numFmtId="0" fontId="2" fillId="0" borderId="0" xfId="0" applyFont="1" applyAlignment="1"/>
    <xf numFmtId="0" fontId="4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/>
    </xf>
    <xf numFmtId="166" fontId="2" fillId="10" borderId="1" xfId="0" applyNumberFormat="1" applyFont="1" applyFill="1" applyBorder="1"/>
    <xf numFmtId="0" fontId="2" fillId="10" borderId="2" xfId="0" applyFont="1" applyFill="1" applyBorder="1"/>
    <xf numFmtId="0" fontId="11" fillId="9" borderId="1" xfId="2" applyFont="1" applyFill="1" applyBorder="1" applyAlignment="1">
      <alignment horizontal="right"/>
    </xf>
    <xf numFmtId="0" fontId="7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10" fontId="13" fillId="2" borderId="1" xfId="2" applyNumberFormat="1" applyFont="1" applyFill="1" applyBorder="1"/>
    <xf numFmtId="0" fontId="13" fillId="10" borderId="1" xfId="2" applyFont="1" applyFill="1" applyBorder="1"/>
    <xf numFmtId="167" fontId="13" fillId="10" borderId="1" xfId="3" applyNumberFormat="1" applyFont="1" applyFill="1" applyBorder="1"/>
    <xf numFmtId="2" fontId="13" fillId="10" borderId="1" xfId="3" applyNumberFormat="1" applyFont="1" applyFill="1" applyBorder="1"/>
    <xf numFmtId="10" fontId="14" fillId="9" borderId="1" xfId="0" applyNumberFormat="1" applyFont="1" applyFill="1" applyBorder="1"/>
    <xf numFmtId="168" fontId="2" fillId="0" borderId="0" xfId="0" applyNumberFormat="1" applyFont="1"/>
    <xf numFmtId="167" fontId="2" fillId="0" borderId="0" xfId="0" applyNumberFormat="1" applyFont="1"/>
    <xf numFmtId="0" fontId="4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/>
    <xf numFmtId="0" fontId="2" fillId="10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1" fillId="9" borderId="11" xfId="2" applyFont="1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11" fillId="7" borderId="1" xfId="2" applyFont="1" applyFill="1" applyBorder="1" applyAlignment="1">
      <alignment horizontal="center"/>
    </xf>
  </cellXfs>
  <cellStyles count="4">
    <cellStyle name="Migliaia 2" xfId="1"/>
    <cellStyle name="Normale" xfId="0" builtinId="0"/>
    <cellStyle name="Normale 2" xfId="2"/>
    <cellStyle name="Percentuale 2" xf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12</xdr:col>
      <xdr:colOff>238125</xdr:colOff>
      <xdr:row>13</xdr:row>
      <xdr:rowOff>38101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685800" y="190501"/>
          <a:ext cx="10325100" cy="2324100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>
              <a:effectLst/>
              <a:latin typeface="+mn-lt"/>
              <a:ea typeface="+mn-ea"/>
              <a:cs typeface="+mn-cs"/>
            </a:rPr>
            <a:t>Sia dato un coupon bond </a:t>
          </a:r>
          <a:r>
            <a:rPr lang="it-IT" sz="1400" b="1" i="1">
              <a:effectLst/>
              <a:latin typeface="+mn-lt"/>
              <a:ea typeface="+mn-ea"/>
              <a:cs typeface="+mn-cs"/>
            </a:rPr>
            <a:t>x</a:t>
          </a:r>
          <a:r>
            <a:rPr lang="it-IT" sz="1400">
              <a:effectLst/>
              <a:latin typeface="+mn-lt"/>
              <a:ea typeface="+mn-ea"/>
              <a:cs typeface="+mn-cs"/>
            </a:rPr>
            <a:t> di valore facciale C = 100 euro, maturity di 2 anni, cedole pagabili semestralmente al tasso nominale annuo i = 3%.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r>
            <a:rPr lang="it-IT" sz="1400">
              <a:effectLst/>
              <a:latin typeface="+mn-lt"/>
              <a:ea typeface="+mn-ea"/>
              <a:cs typeface="+mn-cs"/>
            </a:rPr>
            <a:t>Con riferimento a una struttura dei tassi di interesse a pronti su base annua data da: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				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i(0; 0,5) = 1,85%,				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i(0; 1)    = 2,35%,				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i(0; 1,5) = 2,85%,				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i(0; 2)    = 3,20%,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				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determinare la duration di Macaulay del titolo </a:t>
          </a:r>
          <a:r>
            <a:rPr lang="it-IT" sz="1400" b="1" i="1">
              <a:effectLst/>
              <a:latin typeface="+mn-lt"/>
              <a:ea typeface="+mn-ea"/>
              <a:cs typeface="+mn-cs"/>
            </a:rPr>
            <a:t>x</a:t>
          </a:r>
          <a:r>
            <a:rPr lang="it-IT" sz="1400"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12</xdr:col>
      <xdr:colOff>657226</xdr:colOff>
      <xdr:row>13</xdr:row>
      <xdr:rowOff>9525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685801" y="228600"/>
          <a:ext cx="11715750" cy="275272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>
              <a:effectLst/>
              <a:latin typeface="+mn-lt"/>
              <a:ea typeface="+mn-ea"/>
              <a:cs typeface="+mn-cs"/>
            </a:rPr>
            <a:t>Sia dato un bullet bond x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effectLst/>
              <a:latin typeface="+mn-lt"/>
              <a:ea typeface="+mn-ea"/>
              <a:cs typeface="+mn-cs"/>
            </a:rPr>
            <a:t> di valore facciale C=100 euro, maturity di 2 anni, cedole pagabili semestralmente al tasso nominale annuo i=4%.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r>
            <a:rPr lang="it-IT" sz="1400">
              <a:effectLst/>
              <a:latin typeface="+mn-lt"/>
              <a:ea typeface="+mn-ea"/>
              <a:cs typeface="+mn-cs"/>
            </a:rPr>
            <a:t>Con riferimento a una struttura dei tassi di interesse a pronti su base annua data da:</a:t>
          </a:r>
        </a:p>
        <a:p>
          <a:endParaRPr lang="it-IT" sz="1400">
            <a:effectLst/>
            <a:latin typeface="+mn-lt"/>
            <a:ea typeface="+mn-ea"/>
            <a:cs typeface="+mn-cs"/>
          </a:endParaRP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0.5) = 1.80%,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1) = 2.25%,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1.5) = 3.15%,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2) = 3.70%,</a:t>
          </a:r>
        </a:p>
        <a:p>
          <a:endParaRPr lang="it-IT" sz="1400">
            <a:effectLst/>
            <a:latin typeface="+mn-lt"/>
            <a:ea typeface="+mn-ea"/>
            <a:cs typeface="+mn-cs"/>
          </a:endParaRP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determinare la duration di Macaulay del titolo x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Indicato quindi con x il portafoglio composto da una quota </a:t>
          </a:r>
          <a:r>
            <a:rPr lang="it-IT" sz="1400">
              <a:effectLst/>
              <a:latin typeface="+mn-lt"/>
              <a:ea typeface="+mn-ea"/>
              <a:cs typeface="+mn-cs"/>
              <a:sym typeface="Symbol"/>
            </a:rPr>
            <a:t>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effectLst/>
              <a:latin typeface="+mn-lt"/>
              <a:ea typeface="+mn-ea"/>
              <a:cs typeface="+mn-cs"/>
            </a:rPr>
            <a:t>=1 del titolo x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1</a:t>
          </a:r>
          <a:r>
            <a:rPr lang="it-IT" sz="1400">
              <a:effectLst/>
              <a:latin typeface="+mn-lt"/>
              <a:ea typeface="+mn-ea"/>
              <a:cs typeface="+mn-cs"/>
            </a:rPr>
            <a:t> e da una quota </a:t>
          </a:r>
          <a:r>
            <a:rPr lang="it-IT" sz="1400">
              <a:effectLst/>
              <a:latin typeface="+mn-lt"/>
              <a:ea typeface="+mn-ea"/>
              <a:cs typeface="+mn-cs"/>
              <a:sym typeface="Symbol"/>
            </a:rPr>
            <a:t>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2</a:t>
          </a:r>
          <a:r>
            <a:rPr lang="it-IT" sz="1400">
              <a:effectLst/>
              <a:latin typeface="+mn-lt"/>
              <a:ea typeface="+mn-ea"/>
              <a:cs typeface="+mn-cs"/>
            </a:rPr>
            <a:t> di uno zero coupon bond x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2</a:t>
          </a:r>
          <a:r>
            <a:rPr lang="it-IT" sz="1400">
              <a:effectLst/>
              <a:latin typeface="+mn-lt"/>
              <a:ea typeface="+mn-ea"/>
              <a:cs typeface="+mn-cs"/>
            </a:rPr>
            <a:t> che paga 100 euro in t=1.5 anni,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r>
            <a:rPr lang="it-IT" sz="1400">
              <a:effectLst/>
              <a:latin typeface="+mn-lt"/>
              <a:ea typeface="+mn-ea"/>
              <a:cs typeface="+mn-cs"/>
            </a:rPr>
            <a:t>determinare </a:t>
          </a:r>
          <a:r>
            <a:rPr lang="it-IT" sz="1400">
              <a:effectLst/>
              <a:latin typeface="+mn-lt"/>
              <a:ea typeface="+mn-ea"/>
              <a:cs typeface="+mn-cs"/>
              <a:sym typeface="Symbol"/>
            </a:rPr>
            <a:t>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2</a:t>
          </a:r>
          <a:r>
            <a:rPr lang="it-IT" sz="1400">
              <a:effectLst/>
              <a:latin typeface="+mn-lt"/>
              <a:ea typeface="+mn-ea"/>
              <a:cs typeface="+mn-cs"/>
            </a:rPr>
            <a:t> in modo che D(0, x) = 1.9 anni.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171451</xdr:rowOff>
    </xdr:from>
    <xdr:to>
      <xdr:col>7</xdr:col>
      <xdr:colOff>47625</xdr:colOff>
      <xdr:row>9</xdr:row>
      <xdr:rowOff>28575</xdr:rowOff>
    </xdr:to>
    <xdr:sp macro="" textlink="">
      <xdr:nvSpPr>
        <xdr:cNvPr id="2071" name="Content Placeholder 4"/>
        <xdr:cNvSpPr>
          <a:spLocks/>
        </xdr:cNvSpPr>
      </xdr:nvSpPr>
      <xdr:spPr bwMode="auto">
        <a:xfrm>
          <a:off x="390525" y="171451"/>
          <a:ext cx="8648700" cy="1914524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Sia dato il titolo x1 che paga un flusso di importi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   (12, 12, 12, 112) ai tempi t =(0.5, 1, 1.5, 2).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Con riferimento ad una struttura dei tassi a pronti data da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 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i(0, 0.5) = 11.25%, i(0, 1) = 11.50%, i(0, 1.5) = 12.05%, i(0, 2) = 12.7%,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determinare la duration del titolo x1.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Indicato con x il portafoglio composto </a:t>
          </a: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da una quota α1 del titolo x1 e da una quota α2 = 3 di uno zero coupon bond x2 che paga 100 euro in t = 0.5, determinare α1 in modo che D(0,x) = 1</a:t>
          </a: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9526</xdr:rowOff>
    </xdr:from>
    <xdr:to>
      <xdr:col>9</xdr:col>
      <xdr:colOff>1162050</xdr:colOff>
      <xdr:row>15</xdr:row>
      <xdr:rowOff>219075</xdr:rowOff>
    </xdr:to>
    <xdr:sp macro="" textlink="">
      <xdr:nvSpPr>
        <xdr:cNvPr id="3095" name="Content Placeholder 4"/>
        <xdr:cNvSpPr>
          <a:spLocks/>
        </xdr:cNvSpPr>
      </xdr:nvSpPr>
      <xdr:spPr bwMode="auto">
        <a:xfrm>
          <a:off x="257175" y="238126"/>
          <a:ext cx="10144125" cy="3409949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Sia dato un flusso di pagamenti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 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z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/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t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= (100,100,100,100)/(1,2,3,4), dove il tempo è misurato in anni.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Consideriamo un dato mercato dei capitali e supponiamo che la struttura dei tassi di mercato sia, relativamente ai primi quattro anni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 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i(0, 1) = 11.1%, i(0, 2) = 11.3%, i(0, 3) = 11.5%, i(0, 4) = 11.7%.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Calcolare il valore attuale e la duration del flusso z rispetto alla struttura del mercato. 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Supponiamo inoltre che sul mercato siano disponibili due titoli 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</a:rPr>
            <a:t>x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e 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</a:rPr>
            <a:t>y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con valore attuale e duration, calcolati rispetto alla struttura data, rispettivamente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W(0,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x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) = 98 euro,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D(0;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x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) = 1, e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W(0,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y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) = 102 euro, 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D(0,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  <a:cs typeface="Arial"/>
            </a:rPr>
            <a:t>y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  <a:cs typeface="Arial"/>
            </a:rPr>
            <a:t>) = 3 anni. 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Costruire un portafoglio α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</a:rPr>
            <a:t>x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+ β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</a:rPr>
            <a:t>y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con stesso valore attuale e stessa duration del flusso </a:t>
          </a:r>
          <a:r>
            <a:rPr lang="it-IT" sz="1400" b="1" i="0" u="none" strike="noStrike" baseline="0">
              <a:solidFill>
                <a:srgbClr val="000000"/>
              </a:solidFill>
              <a:latin typeface="Calibri"/>
            </a:rPr>
            <a:t>z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95250</xdr:rowOff>
    </xdr:from>
    <xdr:to>
      <xdr:col>12</xdr:col>
      <xdr:colOff>304800</xdr:colOff>
      <xdr:row>4</xdr:row>
      <xdr:rowOff>123825</xdr:rowOff>
    </xdr:to>
    <xdr:sp macro="" textlink="">
      <xdr:nvSpPr>
        <xdr:cNvPr id="4117" name="Content Placeholder 4"/>
        <xdr:cNvSpPr>
          <a:spLocks/>
        </xdr:cNvSpPr>
      </xdr:nvSpPr>
      <xdr:spPr bwMode="auto">
        <a:xfrm>
          <a:off x="114300" y="323850"/>
          <a:ext cx="12182475" cy="71437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Sia dato un titolo a cedola nulla di valore x con vita a scadenza di tre mesi. Si consideri una struttura di interesse caratterizzata da una funzione d’intensità istantanea costante δ = 0.06 anni^-1. Si determini rispetto a tale struttura la semielasticità rispetto a δ.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323850</xdr:colOff>
      <xdr:row>11</xdr:row>
      <xdr:rowOff>180975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685800" y="228600"/>
          <a:ext cx="12449175" cy="246697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>
              <a:effectLst/>
              <a:latin typeface="+mn-lt"/>
              <a:ea typeface="+mn-ea"/>
              <a:cs typeface="+mn-cs"/>
            </a:rPr>
            <a:t>Sia dato un flusso di pagamenti z={50,100,50,100} relativo allo scadenzario t={1,2,3,4} anni. Si supponga che la struttura di mercato in vigore nell’istante di tempo t=0 sia: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endParaRPr lang="it-IT" sz="1400">
            <a:effectLst/>
            <a:latin typeface="+mn-lt"/>
            <a:ea typeface="+mn-ea"/>
            <a:cs typeface="+mn-cs"/>
          </a:endParaRP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1) = 1.80%,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2) = 2.25%,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3) = 3.15%,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i(0, 4) = 3.70%.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endParaRPr lang="it-IT" sz="1400">
            <a:effectLst/>
            <a:latin typeface="+mn-lt"/>
            <a:ea typeface="+mn-ea"/>
            <a:cs typeface="+mn-cs"/>
          </a:endParaRP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Calcolare il valore attuale e la duration in 0 del titolo z.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Si supponga che sul mercato siano disponibili due titoli x e y con valore attuale e duration, calcolati in riferimento alla struttura data, uguali a V(0;x)=97 euro,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r>
            <a:rPr lang="it-IT" sz="1400">
              <a:effectLst/>
              <a:latin typeface="+mn-lt"/>
              <a:ea typeface="+mn-ea"/>
              <a:cs typeface="+mn-cs"/>
            </a:rPr>
            <a:t>D(0;x)=1 anno e V(0;y)=105 euro, D(0;y)=2.5 anni. Costruire un portafoglio con stesso valore attuale e duration del flusso z.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12</xdr:col>
      <xdr:colOff>121921</xdr:colOff>
      <xdr:row>8</xdr:row>
      <xdr:rowOff>180975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754381" y="220980"/>
          <a:ext cx="10142220" cy="172783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>
              <a:effectLst/>
              <a:latin typeface="+mn-lt"/>
              <a:ea typeface="+mn-ea"/>
              <a:cs typeface="+mn-cs"/>
            </a:rPr>
            <a:t>Sia dato un titolo a cedola fissa di valore nominale C=100 euro, cedola semestrale del 3.5% nominale annuo e vita a scadenza di 2 anni.</a:t>
          </a:r>
          <a:br>
            <a:rPr lang="it-IT" sz="1400">
              <a:effectLst/>
              <a:latin typeface="+mn-lt"/>
              <a:ea typeface="+mn-ea"/>
              <a:cs typeface="+mn-cs"/>
            </a:rPr>
          </a:br>
          <a:r>
            <a:rPr lang="it-IT" sz="1400">
              <a:effectLst/>
              <a:latin typeface="+mn-lt"/>
              <a:ea typeface="+mn-ea"/>
              <a:cs typeface="+mn-cs"/>
            </a:rPr>
            <a:t>Si consideri una struttura di valutazione piatta, di intensità istantanea di interesse </a:t>
          </a:r>
          <a:r>
            <a:rPr lang="it-IT" sz="1400">
              <a:effectLst/>
              <a:latin typeface="+mn-lt"/>
              <a:ea typeface="+mn-ea"/>
              <a:cs typeface="+mn-cs"/>
              <a:sym typeface="Symbol"/>
            </a:rPr>
            <a:t></a:t>
          </a:r>
          <a:r>
            <a:rPr lang="it-IT" sz="1400">
              <a:effectLst/>
              <a:latin typeface="+mn-lt"/>
              <a:ea typeface="+mn-ea"/>
              <a:cs typeface="+mn-cs"/>
            </a:rPr>
            <a:t>=0.038 anni</a:t>
          </a:r>
          <a:r>
            <a:rPr lang="it-IT" sz="1400" baseline="30000">
              <a:effectLst/>
              <a:latin typeface="+mn-lt"/>
              <a:ea typeface="+mn-ea"/>
              <a:cs typeface="+mn-cs"/>
            </a:rPr>
            <a:t>−1</a:t>
          </a:r>
          <a:r>
            <a:rPr lang="it-IT" sz="1400">
              <a:effectLst/>
              <a:latin typeface="+mn-lt"/>
              <a:ea typeface="+mn-ea"/>
              <a:cs typeface="+mn-cs"/>
            </a:rPr>
            <a:t>, calcolare: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(a) il valore attuale V e la durata media finanziaria D,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(b) la semielasticità S</a:t>
          </a:r>
          <a:r>
            <a:rPr lang="it-IT" sz="1400" baseline="-25000">
              <a:effectLst/>
              <a:latin typeface="+mn-lt"/>
              <a:ea typeface="+mn-ea"/>
              <a:cs typeface="+mn-cs"/>
              <a:sym typeface="Symbol"/>
            </a:rPr>
            <a:t></a:t>
          </a:r>
          <a:r>
            <a:rPr lang="it-IT" sz="1400">
              <a:effectLst/>
              <a:latin typeface="+mn-lt"/>
              <a:ea typeface="+mn-ea"/>
              <a:cs typeface="+mn-cs"/>
            </a:rPr>
            <a:t> rispetto a </a:t>
          </a:r>
          <a:r>
            <a:rPr lang="it-IT" sz="1400">
              <a:effectLst/>
              <a:latin typeface="+mn-lt"/>
              <a:ea typeface="+mn-ea"/>
              <a:cs typeface="+mn-cs"/>
              <a:sym typeface="Symbol"/>
            </a:rPr>
            <a:t></a:t>
          </a:r>
          <a:r>
            <a:rPr lang="it-IT" sz="1400">
              <a:effectLst/>
              <a:latin typeface="+mn-lt"/>
              <a:ea typeface="+mn-ea"/>
              <a:cs typeface="+mn-cs"/>
            </a:rPr>
            <a:t>,</a:t>
          </a:r>
        </a:p>
        <a:p>
          <a:r>
            <a:rPr lang="it-IT" sz="1400">
              <a:effectLst/>
              <a:latin typeface="+mn-lt"/>
              <a:ea typeface="+mn-ea"/>
              <a:cs typeface="+mn-cs"/>
            </a:rPr>
            <a:t>(c) la semielasticità S</a:t>
          </a:r>
          <a:r>
            <a:rPr lang="it-IT" sz="1400" baseline="-25000">
              <a:effectLst/>
              <a:latin typeface="+mn-lt"/>
              <a:ea typeface="+mn-ea"/>
              <a:cs typeface="+mn-cs"/>
            </a:rPr>
            <a:t>i</a:t>
          </a:r>
          <a:r>
            <a:rPr lang="it-IT" sz="1400">
              <a:effectLst/>
              <a:latin typeface="+mn-lt"/>
              <a:ea typeface="+mn-ea"/>
              <a:cs typeface="+mn-cs"/>
            </a:rPr>
            <a:t> </a:t>
          </a:r>
          <a:r>
            <a:rPr lang="it-IT" sz="1400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1400">
              <a:effectLst/>
              <a:latin typeface="+mn-lt"/>
              <a:ea typeface="+mn-ea"/>
              <a:cs typeface="+mn-cs"/>
            </a:rPr>
            <a:t>rispetto a i.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14</xdr:col>
      <xdr:colOff>666751</xdr:colOff>
      <xdr:row>10</xdr:row>
      <xdr:rowOff>1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1" y="1"/>
          <a:ext cx="9582150" cy="2057400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Sia data una operazione finanziaria x1/t con: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x1 = {12.5, 10, 12.5, 235} ,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t = {0.5, 1, 1.5, 2} ,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dove il tempo è misurato in anni. Calcolarne la duration rispetto ad una struttura dei tassi a pronti su base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annua data da i(0, 0.5) = 11.10%, i(0, 1) = 11.30%, i(0, 1.5) = 11.50%, i(0, 2) = 11.70%. Indicato poi con x il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portafoglio costituito da una quota alpha1 = 1 del titolo x1 e da una quota alpha2 di uno z.c.b. che paga 100 euro in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t = 0.5, determinare alpha2 in modo che D(0, x) = 1 .</a:t>
          </a: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200025</xdr:colOff>
      <xdr:row>6</xdr:row>
      <xdr:rowOff>104775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0" y="0"/>
          <a:ext cx="9115425" cy="124777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Sia dato un bullet bond x di valore nominale 100 euro, maturity 7 anni, cedola annuale e quotato alla pari.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Calcolare il valore attuale e la duration del titolo rispetto alla struttura piatta dei tassi di interesse determinata</a:t>
          </a:r>
        </a:p>
        <a:p>
          <a:r>
            <a:rPr lang="it-IT" sz="1400" b="0" i="0" u="none" strike="noStrike" baseline="0" smtClean="0">
              <a:latin typeface="+mn-lt"/>
              <a:ea typeface="+mn-ea"/>
              <a:cs typeface="+mn-cs"/>
            </a:rPr>
            <a:t>dal T.I.R. di x , sapendo che questo è uguale a 12.73%.</a:t>
          </a: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C18:I35"/>
  <sheetViews>
    <sheetView workbookViewId="0">
      <selection activeCell="F30" sqref="F30"/>
    </sheetView>
  </sheetViews>
  <sheetFormatPr defaultColWidth="9" defaultRowHeight="16.2" x14ac:dyDescent="0.3"/>
  <cols>
    <col min="1" max="2" width="9" style="16"/>
    <col min="3" max="3" width="17" style="16" bestFit="1" customWidth="1"/>
    <col min="4" max="4" width="11.90625" style="16" bestFit="1" customWidth="1"/>
    <col min="5" max="5" width="7.36328125" style="16" bestFit="1" customWidth="1"/>
    <col min="6" max="6" width="15.7265625" style="16" bestFit="1" customWidth="1"/>
    <col min="7" max="7" width="17" style="16" bestFit="1" customWidth="1"/>
    <col min="8" max="8" width="18.36328125" style="16" bestFit="1" customWidth="1"/>
    <col min="9" max="16384" width="9" style="16"/>
  </cols>
  <sheetData>
    <row r="18" spans="3:8" x14ac:dyDescent="0.3">
      <c r="C18" s="18" t="s">
        <v>41</v>
      </c>
      <c r="D18" s="18"/>
      <c r="E18" s="18"/>
    </row>
    <row r="19" spans="3:8" x14ac:dyDescent="0.3">
      <c r="C19" s="19" t="s">
        <v>42</v>
      </c>
      <c r="D19" s="20">
        <v>100</v>
      </c>
      <c r="E19" s="20"/>
    </row>
    <row r="20" spans="3:8" x14ac:dyDescent="0.3">
      <c r="C20" s="19" t="s">
        <v>43</v>
      </c>
      <c r="D20" s="20">
        <v>2</v>
      </c>
      <c r="E20" s="20" t="s">
        <v>32</v>
      </c>
    </row>
    <row r="21" spans="3:8" x14ac:dyDescent="0.3">
      <c r="C21" s="19" t="s">
        <v>44</v>
      </c>
      <c r="D21" s="20" t="s">
        <v>45</v>
      </c>
      <c r="E21" s="20"/>
    </row>
    <row r="22" spans="3:8" x14ac:dyDescent="0.3">
      <c r="C22" s="19" t="s">
        <v>46</v>
      </c>
      <c r="D22" s="20">
        <f>3%</f>
        <v>0.03</v>
      </c>
      <c r="E22" s="20"/>
    </row>
    <row r="24" spans="3:8" x14ac:dyDescent="0.3">
      <c r="C24" s="16" t="s">
        <v>49</v>
      </c>
      <c r="D24" s="16">
        <f>D19*D22/2</f>
        <v>1.5</v>
      </c>
    </row>
    <row r="28" spans="3:8" x14ac:dyDescent="0.3">
      <c r="C28" s="22" t="s">
        <v>47</v>
      </c>
      <c r="D28" s="23" t="s">
        <v>48</v>
      </c>
      <c r="E28" s="23" t="s">
        <v>50</v>
      </c>
      <c r="F28" s="23" t="s">
        <v>51</v>
      </c>
      <c r="G28" s="23" t="s">
        <v>52</v>
      </c>
      <c r="H28" s="23" t="s">
        <v>53</v>
      </c>
    </row>
    <row r="29" spans="3:8" x14ac:dyDescent="0.3">
      <c r="C29" s="17">
        <v>0</v>
      </c>
      <c r="D29" s="17"/>
      <c r="E29" s="17"/>
      <c r="F29" s="17"/>
      <c r="G29" s="17"/>
      <c r="H29" s="17"/>
    </row>
    <row r="30" spans="3:8" x14ac:dyDescent="0.3">
      <c r="C30" s="17">
        <v>0.5</v>
      </c>
      <c r="D30" s="17">
        <f>1.85%</f>
        <v>1.8500000000000003E-2</v>
      </c>
      <c r="E30" s="17">
        <f>$D$24</f>
        <v>1.5</v>
      </c>
      <c r="F30" s="24">
        <f>(1+D30)^-C30</f>
        <v>0.99087639662191229</v>
      </c>
      <c r="G30" s="24">
        <f>E30*F30</f>
        <v>1.4863145949328684</v>
      </c>
      <c r="H30" s="24">
        <f>G30*C30</f>
        <v>0.74315729746643422</v>
      </c>
    </row>
    <row r="31" spans="3:8" x14ac:dyDescent="0.3">
      <c r="C31" s="17">
        <v>1</v>
      </c>
      <c r="D31" s="17">
        <f>2.35%</f>
        <v>2.35E-2</v>
      </c>
      <c r="E31" s="17">
        <f t="shared" ref="E31:E32" si="0">$D$24</f>
        <v>1.5</v>
      </c>
      <c r="F31" s="24">
        <f t="shared" ref="F31:F33" si="1">(1+D31)^-C31</f>
        <v>0.97703957010258913</v>
      </c>
      <c r="G31" s="24">
        <f t="shared" ref="G31:G33" si="2">E31*F31</f>
        <v>1.4655593551538837</v>
      </c>
      <c r="H31" s="24">
        <f t="shared" ref="H31:H33" si="3">G31*C31</f>
        <v>1.4655593551538837</v>
      </c>
    </row>
    <row r="32" spans="3:8" x14ac:dyDescent="0.3">
      <c r="C32" s="17">
        <v>1.5</v>
      </c>
      <c r="D32" s="17">
        <f>2.85%</f>
        <v>2.8500000000000001E-2</v>
      </c>
      <c r="E32" s="17">
        <f t="shared" si="0"/>
        <v>1.5</v>
      </c>
      <c r="F32" s="24">
        <f t="shared" si="1"/>
        <v>0.95872390426771636</v>
      </c>
      <c r="G32" s="24">
        <f t="shared" si="2"/>
        <v>1.4380858564015746</v>
      </c>
      <c r="H32" s="24">
        <f t="shared" si="3"/>
        <v>2.1571287846023619</v>
      </c>
    </row>
    <row r="33" spans="3:9" x14ac:dyDescent="0.3">
      <c r="C33" s="17">
        <v>2</v>
      </c>
      <c r="D33" s="17">
        <f>3.2%</f>
        <v>3.2000000000000001E-2</v>
      </c>
      <c r="E33" s="17">
        <f>$D$24+D19</f>
        <v>101.5</v>
      </c>
      <c r="F33" s="24">
        <f t="shared" si="1"/>
        <v>0.9389459768042786</v>
      </c>
      <c r="G33" s="24">
        <f t="shared" si="2"/>
        <v>95.303016645634273</v>
      </c>
      <c r="H33" s="24">
        <f t="shared" si="3"/>
        <v>190.60603329126855</v>
      </c>
    </row>
    <row r="34" spans="3:9" x14ac:dyDescent="0.3">
      <c r="F34" s="21"/>
      <c r="G34" s="24">
        <f>SUM(G30:G33)</f>
        <v>99.692976452122593</v>
      </c>
      <c r="H34" s="24">
        <f>SUM(H30:H33)</f>
        <v>194.97187872849122</v>
      </c>
    </row>
    <row r="35" spans="3:9" x14ac:dyDescent="0.3">
      <c r="F35" s="21"/>
      <c r="G35" s="21"/>
      <c r="H35" s="25">
        <f>H34/G34</f>
        <v>1.955723318403741</v>
      </c>
      <c r="I35" s="16" t="s">
        <v>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C19:R41"/>
  <sheetViews>
    <sheetView workbookViewId="0">
      <selection activeCell="D42" sqref="D42"/>
    </sheetView>
  </sheetViews>
  <sheetFormatPr defaultColWidth="9" defaultRowHeight="17.399999999999999" x14ac:dyDescent="0.3"/>
  <cols>
    <col min="1" max="2" width="9" style="1"/>
    <col min="3" max="3" width="17" style="1" bestFit="1" customWidth="1"/>
    <col min="4" max="4" width="11.90625" style="1" bestFit="1" customWidth="1"/>
    <col min="5" max="6" width="9" style="1"/>
    <col min="7" max="7" width="10.6328125" style="1" bestFit="1" customWidth="1"/>
    <col min="8" max="8" width="10.90625" style="1" bestFit="1" customWidth="1"/>
    <col min="9" max="9" width="9.6328125" style="1" bestFit="1" customWidth="1"/>
    <col min="10" max="11" width="9" style="1"/>
    <col min="12" max="12" width="40.08984375" style="1" customWidth="1"/>
    <col min="13" max="13" width="9" style="1"/>
    <col min="14" max="14" width="17.453125" style="1" customWidth="1"/>
    <col min="15" max="17" width="9" style="1"/>
    <col min="18" max="18" width="60.7265625" style="1" customWidth="1"/>
    <col min="19" max="16384" width="9" style="1"/>
  </cols>
  <sheetData>
    <row r="19" spans="3:10" x14ac:dyDescent="0.3">
      <c r="C19" s="18" t="s">
        <v>41</v>
      </c>
      <c r="D19" s="18"/>
      <c r="E19" s="18"/>
      <c r="F19" s="16"/>
      <c r="G19" s="16"/>
      <c r="H19" s="18" t="s">
        <v>41</v>
      </c>
      <c r="I19" s="18"/>
      <c r="J19" s="18"/>
    </row>
    <row r="20" spans="3:10" x14ac:dyDescent="0.3">
      <c r="C20" s="19" t="s">
        <v>42</v>
      </c>
      <c r="D20" s="20">
        <v>100</v>
      </c>
      <c r="E20" s="20"/>
      <c r="F20" s="16"/>
      <c r="G20" s="16"/>
      <c r="H20" s="19" t="s">
        <v>55</v>
      </c>
      <c r="I20" s="20">
        <v>1</v>
      </c>
      <c r="J20" s="20"/>
    </row>
    <row r="21" spans="3:10" x14ac:dyDescent="0.3">
      <c r="C21" s="19" t="s">
        <v>43</v>
      </c>
      <c r="D21" s="20">
        <v>2</v>
      </c>
      <c r="E21" s="20" t="s">
        <v>32</v>
      </c>
      <c r="F21" s="16"/>
      <c r="G21" s="16"/>
      <c r="H21" s="19" t="s">
        <v>57</v>
      </c>
      <c r="I21" s="20">
        <v>100</v>
      </c>
      <c r="J21" s="20"/>
    </row>
    <row r="22" spans="3:10" x14ac:dyDescent="0.3">
      <c r="C22" s="19" t="s">
        <v>44</v>
      </c>
      <c r="D22" s="20" t="s">
        <v>45</v>
      </c>
      <c r="E22" s="20"/>
      <c r="F22" s="16"/>
      <c r="G22" s="16"/>
      <c r="H22" s="19" t="s">
        <v>56</v>
      </c>
      <c r="I22" s="20">
        <v>1.5</v>
      </c>
      <c r="J22" s="20"/>
    </row>
    <row r="23" spans="3:10" x14ac:dyDescent="0.3">
      <c r="C23" s="19" t="s">
        <v>46</v>
      </c>
      <c r="D23" s="20">
        <f>4%</f>
        <v>0.04</v>
      </c>
      <c r="E23" s="20"/>
      <c r="F23" s="16"/>
      <c r="G23" s="16"/>
      <c r="H23" s="19" t="s">
        <v>58</v>
      </c>
      <c r="I23" s="20">
        <v>1.9</v>
      </c>
      <c r="J23" s="20" t="s">
        <v>32</v>
      </c>
    </row>
    <row r="24" spans="3:10" x14ac:dyDescent="0.3">
      <c r="C24" s="16"/>
      <c r="D24" s="16"/>
      <c r="E24" s="16"/>
      <c r="F24" s="16"/>
      <c r="G24" s="16"/>
      <c r="H24" s="16"/>
      <c r="I24" s="16"/>
      <c r="J24" s="16"/>
    </row>
    <row r="25" spans="3:10" x14ac:dyDescent="0.3">
      <c r="C25" s="16" t="s">
        <v>49</v>
      </c>
      <c r="D25" s="16">
        <f>D20*D23/2</f>
        <v>2</v>
      </c>
      <c r="E25" s="16"/>
      <c r="F25" s="16"/>
      <c r="G25" s="16"/>
      <c r="H25" s="16"/>
      <c r="I25" s="16"/>
      <c r="J25" s="16"/>
    </row>
    <row r="26" spans="3:10" x14ac:dyDescent="0.3">
      <c r="C26" s="16"/>
      <c r="D26" s="16"/>
      <c r="E26" s="16"/>
      <c r="F26" s="16"/>
      <c r="G26" s="16"/>
      <c r="H26" s="16"/>
      <c r="I26" s="16"/>
      <c r="J26" s="16"/>
    </row>
    <row r="27" spans="3:10" x14ac:dyDescent="0.3">
      <c r="C27" s="16"/>
      <c r="D27" s="16"/>
      <c r="E27" s="16"/>
      <c r="F27" s="16"/>
      <c r="G27" s="16"/>
      <c r="H27" s="16"/>
      <c r="I27" s="16"/>
      <c r="J27" s="16"/>
    </row>
    <row r="28" spans="3:10" x14ac:dyDescent="0.3">
      <c r="C28" s="16"/>
      <c r="D28" s="16"/>
      <c r="E28" s="16"/>
      <c r="F28" s="16"/>
      <c r="G28" s="16"/>
      <c r="H28" s="16"/>
      <c r="I28" s="16"/>
      <c r="J28" s="16"/>
    </row>
    <row r="29" spans="3:10" x14ac:dyDescent="0.3">
      <c r="C29" s="28" t="s">
        <v>47</v>
      </c>
      <c r="D29" s="29" t="s">
        <v>48</v>
      </c>
      <c r="E29" s="29" t="s">
        <v>50</v>
      </c>
      <c r="F29" s="29" t="s">
        <v>51</v>
      </c>
      <c r="G29" s="29" t="s">
        <v>52</v>
      </c>
      <c r="H29" s="29" t="s">
        <v>53</v>
      </c>
      <c r="I29" s="16"/>
      <c r="J29" s="16"/>
    </row>
    <row r="30" spans="3:10" x14ac:dyDescent="0.3">
      <c r="C30" s="19">
        <v>0</v>
      </c>
      <c r="D30" s="19"/>
      <c r="E30" s="17"/>
      <c r="F30" s="17"/>
      <c r="G30" s="17"/>
      <c r="H30" s="17"/>
      <c r="I30" s="16"/>
      <c r="J30" s="16"/>
    </row>
    <row r="31" spans="3:10" x14ac:dyDescent="0.3">
      <c r="C31" s="19">
        <v>0.5</v>
      </c>
      <c r="D31" s="19">
        <f>1.8%</f>
        <v>1.8000000000000002E-2</v>
      </c>
      <c r="E31" s="17">
        <f>$D$25</f>
        <v>2</v>
      </c>
      <c r="F31" s="24">
        <f>(1+D31)^-C31</f>
        <v>0.99111970574691066</v>
      </c>
      <c r="G31" s="24">
        <f>E31*F31</f>
        <v>1.9822394114938213</v>
      </c>
      <c r="H31" s="24">
        <f>G31*C31</f>
        <v>0.99111970574691066</v>
      </c>
      <c r="I31" s="16"/>
      <c r="J31" s="16"/>
    </row>
    <row r="32" spans="3:10" x14ac:dyDescent="0.3">
      <c r="C32" s="19">
        <v>1</v>
      </c>
      <c r="D32" s="19">
        <f>2.25%</f>
        <v>2.2499999999999999E-2</v>
      </c>
      <c r="E32" s="17">
        <f t="shared" ref="E32:E33" si="0">$D$25</f>
        <v>2</v>
      </c>
      <c r="F32" s="24">
        <f t="shared" ref="F32:F34" si="1">(1+D32)^-C32</f>
        <v>0.97799511002444994</v>
      </c>
      <c r="G32" s="24">
        <f t="shared" ref="G32:G34" si="2">E32*F32</f>
        <v>1.9559902200488999</v>
      </c>
      <c r="H32" s="24">
        <f t="shared" ref="H32:H34" si="3">G32*C32</f>
        <v>1.9559902200488999</v>
      </c>
      <c r="I32" s="16"/>
      <c r="J32" s="16"/>
    </row>
    <row r="33" spans="3:18" x14ac:dyDescent="0.3">
      <c r="C33" s="19">
        <v>1.5</v>
      </c>
      <c r="D33" s="19">
        <f>3.15%</f>
        <v>3.15E-2</v>
      </c>
      <c r="E33" s="17">
        <f t="shared" si="0"/>
        <v>2</v>
      </c>
      <c r="F33" s="24">
        <f t="shared" si="1"/>
        <v>0.95454443828071867</v>
      </c>
      <c r="G33" s="24">
        <f t="shared" si="2"/>
        <v>1.9090888765614373</v>
      </c>
      <c r="H33" s="24">
        <f t="shared" si="3"/>
        <v>2.863633314842156</v>
      </c>
      <c r="I33" s="16"/>
      <c r="J33" s="16"/>
    </row>
    <row r="34" spans="3:18" x14ac:dyDescent="0.3">
      <c r="C34" s="19">
        <v>2</v>
      </c>
      <c r="D34" s="19">
        <f>3.7%</f>
        <v>3.7000000000000005E-2</v>
      </c>
      <c r="E34" s="17">
        <f>$D$25+D20</f>
        <v>102</v>
      </c>
      <c r="F34" s="24">
        <f t="shared" si="1"/>
        <v>0.92991335997225155</v>
      </c>
      <c r="G34" s="24">
        <f t="shared" si="2"/>
        <v>94.851162717169657</v>
      </c>
      <c r="H34" s="24">
        <f t="shared" si="3"/>
        <v>189.70232543433931</v>
      </c>
      <c r="I34" s="16"/>
      <c r="J34" s="16"/>
    </row>
    <row r="35" spans="3:18" x14ac:dyDescent="0.3">
      <c r="C35" s="16"/>
      <c r="D35" s="16"/>
      <c r="E35" s="16"/>
      <c r="F35" s="21"/>
      <c r="G35" s="24">
        <f>SUM(G31:G34)</f>
        <v>100.69848122527381</v>
      </c>
      <c r="H35" s="24">
        <f>SUM(H31:H34)</f>
        <v>195.51306867497729</v>
      </c>
      <c r="I35" s="16"/>
      <c r="J35" s="16"/>
    </row>
    <row r="36" spans="3:18" x14ac:dyDescent="0.3">
      <c r="C36" s="16"/>
      <c r="D36" s="16"/>
      <c r="E36" s="16"/>
      <c r="F36" s="21"/>
      <c r="G36" s="21"/>
      <c r="H36" s="25">
        <f>H35/G35</f>
        <v>1.9415691904785792</v>
      </c>
      <c r="I36" s="16" t="s">
        <v>54</v>
      </c>
      <c r="J36" s="16"/>
    </row>
    <row r="37" spans="3:18" x14ac:dyDescent="0.3">
      <c r="C37" s="16"/>
      <c r="D37" s="16"/>
      <c r="E37" s="16"/>
      <c r="F37" s="16"/>
      <c r="G37" s="16"/>
      <c r="H37" s="16"/>
      <c r="I37" s="16"/>
      <c r="J37" s="16"/>
    </row>
    <row r="39" spans="3:18" x14ac:dyDescent="0.3">
      <c r="C39" s="19" t="s">
        <v>59</v>
      </c>
      <c r="D39" s="20">
        <f>I21*(1+D33)^-C33</f>
        <v>95.454443828071874</v>
      </c>
    </row>
    <row r="40" spans="3:18" ht="44.4" x14ac:dyDescent="0.7">
      <c r="C40" s="19" t="s">
        <v>40</v>
      </c>
      <c r="D40" s="20">
        <f>I22</f>
        <v>1.5</v>
      </c>
      <c r="J40" s="64"/>
      <c r="K40" s="64"/>
      <c r="L40" s="64"/>
      <c r="M40" s="8"/>
      <c r="N40" s="64"/>
      <c r="O40" s="65"/>
      <c r="P40" s="65"/>
      <c r="Q40" s="65"/>
      <c r="R40" s="65"/>
    </row>
    <row r="41" spans="3:18" x14ac:dyDescent="0.3">
      <c r="C41" s="19" t="s">
        <v>61</v>
      </c>
      <c r="D41" s="20">
        <f>I20*G35*(H36-I23)/(D39*(I23-D40))</f>
        <v>0.10963225437928796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5:I39"/>
  <sheetViews>
    <sheetView zoomScaleNormal="100" workbookViewId="0">
      <selection activeCell="I21" sqref="I21"/>
    </sheetView>
  </sheetViews>
  <sheetFormatPr defaultColWidth="10.7265625" defaultRowHeight="17.399999999999999" x14ac:dyDescent="0.3"/>
  <cols>
    <col min="1" max="1" width="10.7265625" style="1"/>
    <col min="2" max="2" width="16.7265625" style="1" customWidth="1"/>
    <col min="3" max="3" width="12.6328125" style="1" customWidth="1"/>
    <col min="4" max="4" width="16.90625" style="1" customWidth="1"/>
    <col min="5" max="5" width="24.90625" style="1" customWidth="1"/>
    <col min="6" max="6" width="25.36328125" style="1" bestFit="1" customWidth="1"/>
    <col min="7" max="7" width="10.7265625" style="1"/>
    <col min="8" max="8" width="13.6328125" style="1" customWidth="1"/>
    <col min="9" max="9" width="17.26953125" style="1" customWidth="1"/>
    <col min="10" max="10" width="21.7265625" style="1" customWidth="1"/>
    <col min="11" max="11" width="33.36328125" style="1" customWidth="1"/>
    <col min="12" max="16384" width="10.7265625" style="1"/>
  </cols>
  <sheetData>
    <row r="15" spans="2:8" ht="19.8" x14ac:dyDescent="0.4">
      <c r="B15" s="75" t="s">
        <v>14</v>
      </c>
      <c r="C15" s="76"/>
      <c r="D15" s="76"/>
      <c r="E15" s="3"/>
      <c r="F15" s="78" t="s">
        <v>19</v>
      </c>
      <c r="G15" s="78"/>
      <c r="H15" s="78"/>
    </row>
    <row r="16" spans="2:8" ht="19.8" x14ac:dyDescent="0.4">
      <c r="B16" s="30" t="s">
        <v>16</v>
      </c>
      <c r="C16" s="30" t="s">
        <v>15</v>
      </c>
      <c r="D16" s="30" t="s">
        <v>18</v>
      </c>
      <c r="F16" s="30" t="s">
        <v>20</v>
      </c>
      <c r="G16" s="30" t="s">
        <v>21</v>
      </c>
      <c r="H16" s="30" t="s">
        <v>22</v>
      </c>
    </row>
    <row r="17" spans="1:9" x14ac:dyDescent="0.3">
      <c r="B17" s="4">
        <f>0.5</f>
        <v>0.5</v>
      </c>
      <c r="C17" s="4">
        <f>12</f>
        <v>12</v>
      </c>
      <c r="D17" s="5">
        <v>0.1125</v>
      </c>
      <c r="F17" s="31">
        <f>1/(1+D17)^B17</f>
        <v>0.9480909262799545</v>
      </c>
      <c r="G17" s="31">
        <f>C17*F17</f>
        <v>11.377091115359454</v>
      </c>
      <c r="H17" s="31">
        <f>B17*G17</f>
        <v>5.6885455576797268</v>
      </c>
    </row>
    <row r="18" spans="1:9" x14ac:dyDescent="0.3">
      <c r="B18" s="4">
        <f>1</f>
        <v>1</v>
      </c>
      <c r="C18" s="4">
        <f>12</f>
        <v>12</v>
      </c>
      <c r="D18" s="5">
        <v>0.115</v>
      </c>
      <c r="F18" s="31">
        <f>1/(1+D18)^B18</f>
        <v>0.89686098654708524</v>
      </c>
      <c r="G18" s="31">
        <f>C18*F18</f>
        <v>10.762331838565023</v>
      </c>
      <c r="H18" s="31">
        <f>B18*G18</f>
        <v>10.762331838565023</v>
      </c>
    </row>
    <row r="19" spans="1:9" x14ac:dyDescent="0.3">
      <c r="B19" s="4">
        <f>1.5</f>
        <v>1.5</v>
      </c>
      <c r="C19" s="4">
        <v>12</v>
      </c>
      <c r="D19" s="5">
        <v>0.1205</v>
      </c>
      <c r="F19" s="31">
        <f>1/(1+D19)^B19</f>
        <v>0.84310605572681196</v>
      </c>
      <c r="G19" s="31">
        <f>C19*F19</f>
        <v>10.117272668721743</v>
      </c>
      <c r="H19" s="31">
        <f>B19*G19</f>
        <v>15.175909003082614</v>
      </c>
    </row>
    <row r="20" spans="1:9" x14ac:dyDescent="0.3">
      <c r="B20" s="4">
        <v>2</v>
      </c>
      <c r="C20" s="4">
        <f>112</f>
        <v>112</v>
      </c>
      <c r="D20" s="5">
        <v>0.127</v>
      </c>
      <c r="F20" s="31">
        <f>1/(1+D20)^B20</f>
        <v>0.78732160276633312</v>
      </c>
      <c r="G20" s="31">
        <f>C20*F20</f>
        <v>88.180019509829307</v>
      </c>
      <c r="H20" s="31">
        <f>B20*G20</f>
        <v>176.36003901965861</v>
      </c>
    </row>
    <row r="21" spans="1:9" ht="19.8" x14ac:dyDescent="0.4">
      <c r="F21" s="32" t="s">
        <v>23</v>
      </c>
      <c r="G21" s="31">
        <f>SUM(G17:G20)</f>
        <v>120.43671513247553</v>
      </c>
      <c r="H21" s="31">
        <f>SUM(H17:H20)</f>
        <v>207.98682541898597</v>
      </c>
      <c r="I21" s="33" t="s">
        <v>24</v>
      </c>
    </row>
    <row r="23" spans="1:9" ht="19.8" x14ac:dyDescent="0.4">
      <c r="A23" s="77"/>
      <c r="B23" s="77"/>
      <c r="C23" s="77"/>
      <c r="D23" s="77"/>
      <c r="E23" s="77"/>
      <c r="G23" s="35" t="s">
        <v>6</v>
      </c>
      <c r="H23" s="34">
        <f>H21/G21</f>
        <v>1.7269387095970599</v>
      </c>
    </row>
    <row r="28" spans="1:9" x14ac:dyDescent="0.3">
      <c r="B28" s="73" t="s">
        <v>13</v>
      </c>
      <c r="C28" s="74"/>
      <c r="D28" s="74"/>
      <c r="E28" s="74"/>
    </row>
    <row r="29" spans="1:9" ht="19.8" x14ac:dyDescent="0.4">
      <c r="B29" s="30" t="s">
        <v>16</v>
      </c>
      <c r="C29" s="30" t="s">
        <v>28</v>
      </c>
      <c r="D29" s="30" t="s">
        <v>25</v>
      </c>
      <c r="E29" s="30" t="s">
        <v>17</v>
      </c>
      <c r="F29" s="36" t="s">
        <v>27</v>
      </c>
      <c r="H29" s="37" t="s">
        <v>39</v>
      </c>
      <c r="I29" s="37" t="s">
        <v>40</v>
      </c>
    </row>
    <row r="30" spans="1:9" ht="19.8" x14ac:dyDescent="0.4">
      <c r="B30" s="4">
        <f>0.5</f>
        <v>0.5</v>
      </c>
      <c r="C30" s="4">
        <f>12</f>
        <v>12</v>
      </c>
      <c r="D30" s="7">
        <v>100</v>
      </c>
      <c r="E30" s="5">
        <f>D17</f>
        <v>0.1125</v>
      </c>
      <c r="F30" s="4" t="s">
        <v>26</v>
      </c>
      <c r="H30" s="27">
        <f>D30*F17</f>
        <v>94.809092627995454</v>
      </c>
      <c r="I30" s="27">
        <f>B30</f>
        <v>0.5</v>
      </c>
    </row>
    <row r="31" spans="1:9" x14ac:dyDescent="0.3">
      <c r="B31" s="4">
        <f>1</f>
        <v>1</v>
      </c>
      <c r="C31" s="4">
        <f>12</f>
        <v>12</v>
      </c>
      <c r="D31" s="7">
        <f>0</f>
        <v>0</v>
      </c>
      <c r="E31" s="5">
        <f>D18</f>
        <v>0.115</v>
      </c>
      <c r="F31" s="4">
        <v>12</v>
      </c>
    </row>
    <row r="32" spans="1:9" x14ac:dyDescent="0.3">
      <c r="B32" s="4">
        <f>1.5</f>
        <v>1.5</v>
      </c>
      <c r="C32" s="4">
        <v>12</v>
      </c>
      <c r="D32" s="7">
        <f>0</f>
        <v>0</v>
      </c>
      <c r="E32" s="5">
        <f>D19</f>
        <v>0.1205</v>
      </c>
      <c r="F32" s="4">
        <v>12</v>
      </c>
    </row>
    <row r="33" spans="2:6" x14ac:dyDescent="0.3">
      <c r="B33" s="4">
        <v>2</v>
      </c>
      <c r="C33" s="4">
        <f>112</f>
        <v>112</v>
      </c>
      <c r="D33" s="7">
        <f>0</f>
        <v>0</v>
      </c>
      <c r="E33" s="5">
        <f>D20</f>
        <v>0.127</v>
      </c>
      <c r="F33" s="4">
        <v>112</v>
      </c>
    </row>
    <row r="34" spans="2:6" x14ac:dyDescent="0.3">
      <c r="B34"/>
    </row>
    <row r="39" spans="2:6" ht="24.6" x14ac:dyDescent="0.4">
      <c r="E39" s="39" t="s">
        <v>7</v>
      </c>
      <c r="F39" s="38">
        <f>(3*H30*(1-I30))/(G21*(H23-1))</f>
        <v>1.6243684728276713</v>
      </c>
    </row>
  </sheetData>
  <mergeCells count="4">
    <mergeCell ref="B28:E28"/>
    <mergeCell ref="B15:D15"/>
    <mergeCell ref="A23:E23"/>
    <mergeCell ref="F15:H15"/>
  </mergeCells>
  <phoneticPr fontId="1" type="noConversion"/>
  <pageMargins left="0.75" right="0.75" top="1" bottom="1" header="0.5" footer="0.5"/>
  <pageSetup paperSize="9" orientation="portrait" horizontalDpi="4294967293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1:P45"/>
  <sheetViews>
    <sheetView tabSelected="1" zoomScaleNormal="100" workbookViewId="0">
      <selection activeCell="G25" sqref="G25"/>
    </sheetView>
  </sheetViews>
  <sheetFormatPr defaultColWidth="10.7265625" defaultRowHeight="17.399999999999999" x14ac:dyDescent="0.3"/>
  <cols>
    <col min="1" max="1" width="10.7265625" style="1"/>
    <col min="2" max="2" width="19.26953125" style="1" bestFit="1" customWidth="1"/>
    <col min="3" max="3" width="10.26953125" style="1" customWidth="1"/>
    <col min="4" max="4" width="17.26953125" style="1" customWidth="1"/>
    <col min="5" max="5" width="14.26953125" style="1" customWidth="1"/>
    <col min="6" max="6" width="3.36328125" style="1" customWidth="1"/>
    <col min="7" max="7" width="19.36328125" style="1" bestFit="1" customWidth="1"/>
    <col min="8" max="8" width="11.90625" style="1" customWidth="1"/>
    <col min="9" max="9" width="14.90625" style="1" customWidth="1"/>
    <col min="10" max="10" width="22.6328125" style="1" customWidth="1"/>
    <col min="11" max="11" width="10.7265625" style="1"/>
    <col min="12" max="12" width="16.7265625" style="1" customWidth="1"/>
    <col min="13" max="13" width="13.08984375" style="1" customWidth="1"/>
    <col min="14" max="14" width="12.08984375" style="1" bestFit="1" customWidth="1"/>
    <col min="15" max="15" width="14.26953125" style="1" customWidth="1"/>
    <col min="16" max="16384" width="10.7265625" style="1"/>
  </cols>
  <sheetData>
    <row r="21" spans="2:10" x14ac:dyDescent="0.3">
      <c r="B21" s="75" t="s">
        <v>12</v>
      </c>
      <c r="C21" s="75"/>
      <c r="D21" s="75"/>
    </row>
    <row r="22" spans="2:10" x14ac:dyDescent="0.3">
      <c r="B22" s="30" t="s">
        <v>8</v>
      </c>
      <c r="C22" s="30" t="s">
        <v>62</v>
      </c>
      <c r="D22" s="30" t="s">
        <v>9</v>
      </c>
      <c r="G22" s="79" t="s">
        <v>63</v>
      </c>
      <c r="H22" s="80"/>
      <c r="I22" s="81"/>
    </row>
    <row r="23" spans="2:10" ht="19.8" x14ac:dyDescent="0.4">
      <c r="B23" s="4">
        <f>1</f>
        <v>1</v>
      </c>
      <c r="C23" s="4">
        <f>100</f>
        <v>100</v>
      </c>
      <c r="D23" s="40">
        <f>0.111</f>
        <v>0.111</v>
      </c>
      <c r="G23" s="30" t="s">
        <v>64</v>
      </c>
      <c r="H23" s="30" t="s">
        <v>65</v>
      </c>
      <c r="I23" s="30" t="s">
        <v>66</v>
      </c>
    </row>
    <row r="24" spans="2:10" x14ac:dyDescent="0.3">
      <c r="B24" s="4">
        <f>2</f>
        <v>2</v>
      </c>
      <c r="C24" s="4">
        <f>100</f>
        <v>100</v>
      </c>
      <c r="D24" s="40">
        <f>0.113</f>
        <v>0.113</v>
      </c>
      <c r="G24" s="31">
        <f>1/(1+D23)^B23</f>
        <v>0.90009000900090008</v>
      </c>
      <c r="H24" s="61">
        <f>C23*G24</f>
        <v>90.009000900090001</v>
      </c>
      <c r="I24" s="61">
        <f>B23*H24</f>
        <v>90.009000900090001</v>
      </c>
    </row>
    <row r="25" spans="2:10" x14ac:dyDescent="0.3">
      <c r="B25" s="4">
        <f>3</f>
        <v>3</v>
      </c>
      <c r="C25" s="4">
        <f>100</f>
        <v>100</v>
      </c>
      <c r="D25" s="40">
        <f>0.115</f>
        <v>0.115</v>
      </c>
      <c r="G25" s="31">
        <f>1/(1+D24)^B24</f>
        <v>0.80725300681563716</v>
      </c>
      <c r="H25" s="61">
        <f>C24*G25</f>
        <v>80.725300681563709</v>
      </c>
      <c r="I25" s="61">
        <f>B24*H25</f>
        <v>161.45060136312742</v>
      </c>
    </row>
    <row r="26" spans="2:10" x14ac:dyDescent="0.3">
      <c r="B26" s="4">
        <f>4</f>
        <v>4</v>
      </c>
      <c r="C26" s="4">
        <f>100</f>
        <v>100</v>
      </c>
      <c r="D26" s="40">
        <f>0.117</f>
        <v>0.11700000000000001</v>
      </c>
      <c r="G26" s="31">
        <f>1/(1+D25)^B25</f>
        <v>0.72139877057418023</v>
      </c>
      <c r="H26" s="61">
        <f>C25*G26</f>
        <v>72.139877057418019</v>
      </c>
      <c r="I26" s="61">
        <f>B25*H26</f>
        <v>216.41963117225407</v>
      </c>
    </row>
    <row r="27" spans="2:10" x14ac:dyDescent="0.3">
      <c r="G27" s="62">
        <f>1/(1+D26)^B26</f>
        <v>0.64237304289287267</v>
      </c>
      <c r="H27" s="61">
        <f>C26*G27</f>
        <v>64.237304289287266</v>
      </c>
      <c r="I27" s="61">
        <f>B26*H27</f>
        <v>256.94921715714906</v>
      </c>
    </row>
    <row r="28" spans="2:10" ht="19.8" x14ac:dyDescent="0.4">
      <c r="F28" s="41"/>
      <c r="G28" s="32" t="s">
        <v>67</v>
      </c>
      <c r="H28" s="61">
        <f>SUM(H24:H27)</f>
        <v>307.11148292835901</v>
      </c>
      <c r="I28" s="61">
        <f>SUM(I24:I27)</f>
        <v>724.82845059262058</v>
      </c>
      <c r="J28" s="33" t="s">
        <v>68</v>
      </c>
    </row>
    <row r="30" spans="2:10" ht="18" x14ac:dyDescent="0.35">
      <c r="H30" s="63" t="s">
        <v>69</v>
      </c>
      <c r="I30" s="34">
        <f>I28/H28</f>
        <v>2.3601476691176146</v>
      </c>
    </row>
    <row r="33" spans="2:16" ht="15.75" customHeight="1" x14ac:dyDescent="0.3">
      <c r="B33" s="59" t="s">
        <v>11</v>
      </c>
      <c r="C33" s="59"/>
    </row>
    <row r="34" spans="2:16" ht="20.100000000000001" customHeight="1" x14ac:dyDescent="0.3">
      <c r="B34" s="60" t="s">
        <v>70</v>
      </c>
      <c r="C34" s="42">
        <f>98</f>
        <v>98</v>
      </c>
    </row>
    <row r="35" spans="2:16" ht="19.5" customHeight="1" x14ac:dyDescent="0.3">
      <c r="B35" s="60" t="s">
        <v>71</v>
      </c>
      <c r="C35" s="42">
        <f>102</f>
        <v>102</v>
      </c>
    </row>
    <row r="36" spans="2:16" ht="19.5" customHeight="1" x14ac:dyDescent="0.3">
      <c r="B36" s="60" t="s">
        <v>72</v>
      </c>
      <c r="C36" s="42">
        <f>1</f>
        <v>1</v>
      </c>
      <c r="D36" s="1" t="s">
        <v>10</v>
      </c>
      <c r="E36" s="43" t="s">
        <v>73</v>
      </c>
      <c r="F36" s="43"/>
      <c r="G36" s="43"/>
      <c r="H36" s="43"/>
      <c r="I36" s="43"/>
      <c r="J36" s="43"/>
      <c r="K36" s="43"/>
      <c r="L36" s="43"/>
      <c r="M36" s="43"/>
      <c r="N36" s="43"/>
    </row>
    <row r="37" spans="2:16" x14ac:dyDescent="0.3">
      <c r="B37" s="60" t="s">
        <v>74</v>
      </c>
      <c r="C37" s="42">
        <f>3</f>
        <v>3</v>
      </c>
      <c r="D37" s="1" t="s">
        <v>10</v>
      </c>
    </row>
    <row r="39" spans="2:16" x14ac:dyDescent="0.3">
      <c r="H39" s="6" t="s">
        <v>2</v>
      </c>
      <c r="I39" s="44" t="s">
        <v>0</v>
      </c>
      <c r="J39" s="45"/>
      <c r="K39" s="46"/>
      <c r="L39" s="46"/>
      <c r="M39" s="45" t="s">
        <v>4</v>
      </c>
      <c r="N39" s="45"/>
      <c r="O39" s="45"/>
      <c r="P39" s="47"/>
    </row>
    <row r="40" spans="2:16" x14ac:dyDescent="0.3">
      <c r="E40" s="48" t="s">
        <v>3</v>
      </c>
      <c r="F40" s="49"/>
      <c r="G40" s="50"/>
      <c r="H40" s="6"/>
      <c r="I40" s="51"/>
      <c r="J40" s="52"/>
      <c r="K40" s="52"/>
      <c r="L40" s="52"/>
      <c r="M40" s="52"/>
      <c r="N40" s="52"/>
      <c r="O40" s="52"/>
      <c r="P40" s="53"/>
    </row>
    <row r="41" spans="2:16" x14ac:dyDescent="0.3">
      <c r="B41" s="1" t="s">
        <v>75</v>
      </c>
      <c r="C41" s="1">
        <f>(H28*(C37-I30))/(C34*(C37-C36))</f>
        <v>1.0025816234309002</v>
      </c>
      <c r="H41" s="6"/>
      <c r="I41" s="54" t="s">
        <v>1</v>
      </c>
      <c r="J41" s="55"/>
      <c r="K41" s="56"/>
      <c r="L41" s="56"/>
      <c r="M41" s="55" t="s">
        <v>5</v>
      </c>
      <c r="N41" s="55"/>
      <c r="O41" s="55"/>
      <c r="P41" s="57"/>
    </row>
    <row r="42" spans="2:16" x14ac:dyDescent="0.3">
      <c r="B42" s="1" t="s">
        <v>76</v>
      </c>
      <c r="C42" s="1">
        <f>(H28*(I30-C36))/(C35*(C37-C36))</f>
        <v>2.047632194432655</v>
      </c>
    </row>
    <row r="45" spans="2:16" x14ac:dyDescent="0.3">
      <c r="E45" s="58"/>
      <c r="F45" s="58"/>
    </row>
  </sheetData>
  <mergeCells count="2">
    <mergeCell ref="B21:D21"/>
    <mergeCell ref="G22:I22"/>
  </mergeCells>
  <phoneticPr fontId="1" type="noConversion"/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8:K12"/>
  <sheetViews>
    <sheetView workbookViewId="0">
      <selection activeCell="E9" sqref="E9"/>
    </sheetView>
  </sheetViews>
  <sheetFormatPr defaultColWidth="10.7265625" defaultRowHeight="17.399999999999999" x14ac:dyDescent="0.3"/>
  <cols>
    <col min="1" max="1" width="8.90625" style="1" customWidth="1"/>
    <col min="2" max="2" width="10.7265625" style="1"/>
    <col min="3" max="3" width="22.36328125" style="1" customWidth="1"/>
    <col min="4" max="4" width="9" style="1" customWidth="1"/>
    <col min="5" max="5" width="8.08984375" style="1" bestFit="1" customWidth="1"/>
    <col min="6" max="8" width="10.7265625" style="1"/>
    <col min="9" max="9" width="22.36328125" style="1" customWidth="1"/>
    <col min="10" max="10" width="10.7265625" style="1"/>
    <col min="11" max="11" width="22.08984375" style="1" customWidth="1"/>
    <col min="12" max="16384" width="10.7265625" style="1"/>
  </cols>
  <sheetData>
    <row r="8" spans="2:11" x14ac:dyDescent="0.3">
      <c r="B8" s="82" t="s">
        <v>36</v>
      </c>
      <c r="C8" s="82"/>
      <c r="D8" s="76"/>
      <c r="E8" s="76"/>
      <c r="F8" s="76"/>
    </row>
    <row r="9" spans="2:11" ht="18" x14ac:dyDescent="0.35">
      <c r="B9" s="63"/>
      <c r="C9" s="63" t="s">
        <v>37</v>
      </c>
      <c r="D9" s="9" t="s">
        <v>33</v>
      </c>
      <c r="E9" s="13">
        <f>3/12</f>
        <v>0.25</v>
      </c>
      <c r="F9" s="9" t="s">
        <v>10</v>
      </c>
      <c r="H9" s="77"/>
      <c r="I9" s="77"/>
      <c r="J9" s="77"/>
      <c r="K9" s="77"/>
    </row>
    <row r="10" spans="2:11" ht="19.8" x14ac:dyDescent="0.35">
      <c r="B10" s="63"/>
      <c r="C10" s="63" t="s">
        <v>34</v>
      </c>
      <c r="D10" s="4">
        <f>0.06</f>
        <v>0.06</v>
      </c>
      <c r="E10" s="9" t="s">
        <v>35</v>
      </c>
      <c r="F10" s="9"/>
    </row>
    <row r="11" spans="2:11" x14ac:dyDescent="0.3">
      <c r="B11" s="6"/>
      <c r="C11" s="2"/>
    </row>
    <row r="12" spans="2:11" ht="18" x14ac:dyDescent="0.35">
      <c r="B12" s="83" t="s">
        <v>38</v>
      </c>
      <c r="C12" s="84"/>
      <c r="D12" s="12">
        <f>-E9</f>
        <v>-0.25</v>
      </c>
    </row>
  </sheetData>
  <mergeCells count="3">
    <mergeCell ref="B8:F8"/>
    <mergeCell ref="H9:K9"/>
    <mergeCell ref="B12:C12"/>
  </mergeCells>
  <phoneticPr fontId="1" type="noConversion"/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C14:K34"/>
  <sheetViews>
    <sheetView workbookViewId="0">
      <selection activeCell="I15" sqref="I15:J15"/>
    </sheetView>
  </sheetViews>
  <sheetFormatPr defaultColWidth="9" defaultRowHeight="17.399999999999999" x14ac:dyDescent="0.3"/>
  <cols>
    <col min="1" max="3" width="9" style="1"/>
    <col min="4" max="4" width="12.08984375" style="1" bestFit="1" customWidth="1"/>
    <col min="5" max="7" width="9" style="1"/>
    <col min="8" max="8" width="20.453125" style="1" bestFit="1" customWidth="1"/>
    <col min="9" max="9" width="12.36328125" style="1" customWidth="1"/>
    <col min="10" max="10" width="17.36328125" style="1" customWidth="1"/>
    <col min="11" max="11" width="15.7265625" style="1" bestFit="1" customWidth="1"/>
    <col min="12" max="16384" width="9" style="1"/>
  </cols>
  <sheetData>
    <row r="14" spans="3:10" ht="19.8" x14ac:dyDescent="0.4">
      <c r="C14" s="18" t="s">
        <v>41</v>
      </c>
      <c r="D14" s="18"/>
      <c r="E14" s="18"/>
      <c r="H14" s="79" t="s">
        <v>19</v>
      </c>
      <c r="I14" s="80"/>
      <c r="J14" s="81"/>
    </row>
    <row r="15" spans="3:10" ht="19.8" x14ac:dyDescent="0.4">
      <c r="C15" s="19" t="s">
        <v>47</v>
      </c>
      <c r="D15" s="20"/>
      <c r="E15" s="20"/>
      <c r="H15" s="30" t="s">
        <v>20</v>
      </c>
      <c r="I15" s="30" t="s">
        <v>21</v>
      </c>
      <c r="J15" s="30" t="s">
        <v>22</v>
      </c>
    </row>
    <row r="16" spans="3:10" x14ac:dyDescent="0.3">
      <c r="C16" s="19">
        <v>1</v>
      </c>
      <c r="D16" s="20">
        <v>50</v>
      </c>
      <c r="E16" s="20">
        <f>1.8%</f>
        <v>1.8000000000000002E-2</v>
      </c>
      <c r="H16" s="31">
        <f>(1+E16)^(-C16)</f>
        <v>0.98231827111984282</v>
      </c>
      <c r="I16" s="31">
        <f>H16*D16</f>
        <v>49.115913555992144</v>
      </c>
      <c r="J16" s="31">
        <f>C16*I16</f>
        <v>49.115913555992144</v>
      </c>
    </row>
    <row r="17" spans="3:11" x14ac:dyDescent="0.3">
      <c r="C17" s="19">
        <v>2</v>
      </c>
      <c r="D17" s="20">
        <v>100</v>
      </c>
      <c r="E17" s="20">
        <f>2.25%</f>
        <v>2.2499999999999999E-2</v>
      </c>
      <c r="H17" s="31">
        <f t="shared" ref="H17:H19" si="0">(1+E17)^(-C17)</f>
        <v>0.95647443523173592</v>
      </c>
      <c r="I17" s="31">
        <f t="shared" ref="I17:I19" si="1">H17*D17</f>
        <v>95.647443523173592</v>
      </c>
      <c r="J17" s="31">
        <f t="shared" ref="J17:J19" si="2">C17*I17</f>
        <v>191.29488704634718</v>
      </c>
    </row>
    <row r="18" spans="3:11" x14ac:dyDescent="0.3">
      <c r="C18" s="19">
        <v>3</v>
      </c>
      <c r="D18" s="20">
        <v>50</v>
      </c>
      <c r="E18" s="20">
        <f>3.15%</f>
        <v>3.15E-2</v>
      </c>
      <c r="H18" s="31">
        <f t="shared" si="0"/>
        <v>0.91115508465265282</v>
      </c>
      <c r="I18" s="31">
        <f t="shared" si="1"/>
        <v>45.557754232632639</v>
      </c>
      <c r="J18" s="31">
        <f t="shared" si="2"/>
        <v>136.67326269789791</v>
      </c>
    </row>
    <row r="19" spans="3:11" x14ac:dyDescent="0.3">
      <c r="C19" s="19">
        <v>4</v>
      </c>
      <c r="D19" s="20">
        <v>100</v>
      </c>
      <c r="E19" s="20">
        <f>3.7%</f>
        <v>3.7000000000000005E-2</v>
      </c>
      <c r="H19" s="31">
        <f t="shared" si="0"/>
        <v>0.86473885705488229</v>
      </c>
      <c r="I19" s="31">
        <f t="shared" si="1"/>
        <v>86.473885705488229</v>
      </c>
      <c r="J19" s="31">
        <f t="shared" si="2"/>
        <v>345.89554282195292</v>
      </c>
    </row>
    <row r="20" spans="3:11" ht="19.8" x14ac:dyDescent="0.4">
      <c r="H20" s="32" t="s">
        <v>23</v>
      </c>
      <c r="I20" s="31">
        <f>SUM(I16:I19)</f>
        <v>276.79499701728662</v>
      </c>
      <c r="J20" s="31">
        <f>SUM(J16:J19)</f>
        <v>722.97960612219015</v>
      </c>
      <c r="K20" s="33" t="s">
        <v>24</v>
      </c>
    </row>
    <row r="22" spans="3:11" ht="19.8" x14ac:dyDescent="0.4">
      <c r="I22" s="35" t="s">
        <v>6</v>
      </c>
      <c r="J22" s="34">
        <f>J20/I20</f>
        <v>2.6119677519931406</v>
      </c>
    </row>
    <row r="26" spans="3:11" x14ac:dyDescent="0.3">
      <c r="C26" s="18" t="s">
        <v>41</v>
      </c>
      <c r="D26" s="18"/>
    </row>
    <row r="27" spans="3:11" x14ac:dyDescent="0.3">
      <c r="C27" s="19" t="s">
        <v>60</v>
      </c>
      <c r="D27" s="20">
        <v>97</v>
      </c>
    </row>
    <row r="28" spans="3:11" x14ac:dyDescent="0.3">
      <c r="C28" s="19" t="s">
        <v>77</v>
      </c>
      <c r="D28" s="20">
        <v>105</v>
      </c>
    </row>
    <row r="29" spans="3:11" x14ac:dyDescent="0.3">
      <c r="C29" s="19" t="s">
        <v>58</v>
      </c>
      <c r="D29" s="20">
        <v>1</v>
      </c>
    </row>
    <row r="30" spans="3:11" x14ac:dyDescent="0.3">
      <c r="C30" s="19" t="s">
        <v>78</v>
      </c>
      <c r="D30" s="20">
        <f>2.5</f>
        <v>2.5</v>
      </c>
    </row>
    <row r="33" spans="3:4" x14ac:dyDescent="0.3">
      <c r="C33" s="19" t="s">
        <v>75</v>
      </c>
      <c r="D33" s="20">
        <f>I20*(D30-J22)/(D27*(D30-D29))</f>
        <v>-0.21300421703761949</v>
      </c>
    </row>
    <row r="34" spans="3:4" x14ac:dyDescent="0.3">
      <c r="C34" s="19" t="s">
        <v>76</v>
      </c>
      <c r="D34" s="20">
        <f>I20*(J22-D29)/(D28*(D30-D29))</f>
        <v>2.8329181530470069</v>
      </c>
    </row>
  </sheetData>
  <mergeCells count="1">
    <mergeCell ref="H14: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2:K19"/>
  <sheetViews>
    <sheetView workbookViewId="0">
      <selection activeCell="G28" sqref="G28"/>
    </sheetView>
  </sheetViews>
  <sheetFormatPr defaultColWidth="9" defaultRowHeight="17.399999999999999" x14ac:dyDescent="0.3"/>
  <cols>
    <col min="1" max="1" width="9" style="1"/>
    <col min="2" max="2" width="16.7265625" style="1" bestFit="1" customWidth="1"/>
    <col min="3" max="7" width="9" style="1"/>
    <col min="8" max="8" width="9.26953125" style="1" bestFit="1" customWidth="1"/>
    <col min="9" max="9" width="9" style="1"/>
    <col min="10" max="10" width="12.453125" style="1" bestFit="1" customWidth="1"/>
    <col min="11" max="11" width="18.08984375" style="1" customWidth="1"/>
    <col min="12" max="16384" width="9" style="1"/>
  </cols>
  <sheetData>
    <row r="12" spans="2:11" ht="19.8" x14ac:dyDescent="0.4">
      <c r="B12" s="85" t="s">
        <v>29</v>
      </c>
      <c r="C12" s="85"/>
      <c r="D12" s="10"/>
      <c r="G12" s="15" t="s">
        <v>30</v>
      </c>
      <c r="H12" s="26" t="s">
        <v>51</v>
      </c>
      <c r="I12" s="26" t="s">
        <v>81</v>
      </c>
      <c r="J12" s="26" t="s">
        <v>21</v>
      </c>
      <c r="K12" s="26" t="s">
        <v>22</v>
      </c>
    </row>
    <row r="13" spans="2:11" ht="18" x14ac:dyDescent="0.35">
      <c r="B13" s="14" t="s">
        <v>31</v>
      </c>
      <c r="C13" s="11">
        <v>100</v>
      </c>
      <c r="D13" s="10"/>
      <c r="G13" s="14">
        <v>0</v>
      </c>
      <c r="H13" s="67"/>
    </row>
    <row r="14" spans="2:11" ht="18" x14ac:dyDescent="0.35">
      <c r="B14" s="14" t="s">
        <v>79</v>
      </c>
      <c r="C14" s="66">
        <v>3.5000000000000003E-2</v>
      </c>
      <c r="D14" s="10"/>
      <c r="G14" s="14">
        <v>0.5</v>
      </c>
      <c r="H14" s="68">
        <f>EXP(-$C$17*G14)</f>
        <v>0.981179362242806</v>
      </c>
      <c r="I14" s="69">
        <f>$C$13*$C$14*$C$16</f>
        <v>1.7500000000000002</v>
      </c>
      <c r="J14" s="68">
        <f>H14*I14</f>
        <v>1.7170638839249106</v>
      </c>
      <c r="K14" s="68">
        <f>J14*G14</f>
        <v>0.8585319419624553</v>
      </c>
    </row>
    <row r="15" spans="2:11" ht="18" x14ac:dyDescent="0.35">
      <c r="B15" s="14" t="s">
        <v>80</v>
      </c>
      <c r="C15" s="11">
        <v>12</v>
      </c>
      <c r="D15" s="10" t="s">
        <v>32</v>
      </c>
      <c r="G15" s="14">
        <v>1</v>
      </c>
      <c r="H15" s="68">
        <f t="shared" ref="H15:H17" si="0">EXP(-$C$17*G15)</f>
        <v>0.96271294089119952</v>
      </c>
      <c r="I15" s="69">
        <f t="shared" ref="I15:I17" si="1">$C$13*$C$14*$C$16</f>
        <v>1.7500000000000002</v>
      </c>
      <c r="J15" s="68">
        <f t="shared" ref="J15:J17" si="2">H15*I15</f>
        <v>1.6847476465595994</v>
      </c>
      <c r="K15" s="68">
        <f t="shared" ref="K15:K17" si="3">J15*G15</f>
        <v>1.6847476465595994</v>
      </c>
    </row>
    <row r="16" spans="2:11" ht="18" x14ac:dyDescent="0.35">
      <c r="B16" s="14" t="s">
        <v>44</v>
      </c>
      <c r="C16" s="11">
        <f>1/2</f>
        <v>0.5</v>
      </c>
      <c r="D16" s="10"/>
      <c r="G16" s="14">
        <v>1.5</v>
      </c>
      <c r="H16" s="68">
        <f t="shared" si="0"/>
        <v>0.94459406936652335</v>
      </c>
      <c r="I16" s="69">
        <f t="shared" si="1"/>
        <v>1.7500000000000002</v>
      </c>
      <c r="J16" s="68">
        <f t="shared" si="2"/>
        <v>1.653039621391416</v>
      </c>
      <c r="K16" s="68">
        <f t="shared" si="3"/>
        <v>2.4795594320871239</v>
      </c>
    </row>
    <row r="17" spans="2:11" ht="18" x14ac:dyDescent="0.35">
      <c r="B17" s="14" t="s">
        <v>83</v>
      </c>
      <c r="C17" s="11">
        <f>0.038</f>
        <v>3.7999999999999999E-2</v>
      </c>
      <c r="G17" s="14">
        <v>2</v>
      </c>
      <c r="H17" s="68">
        <f t="shared" si="0"/>
        <v>0.92681620655938224</v>
      </c>
      <c r="I17" s="69">
        <f t="shared" si="1"/>
        <v>1.7500000000000002</v>
      </c>
      <c r="J17" s="68">
        <f t="shared" si="2"/>
        <v>1.6219283614789191</v>
      </c>
      <c r="K17" s="68">
        <f t="shared" si="3"/>
        <v>3.2438567229578381</v>
      </c>
    </row>
    <row r="18" spans="2:11" ht="18" x14ac:dyDescent="0.35">
      <c r="J18" s="68">
        <f>SUM(J14:J17)</f>
        <v>6.6767795133548455</v>
      </c>
      <c r="K18" s="68">
        <f>SUM(K14:K17)</f>
        <v>8.2666957435670163</v>
      </c>
    </row>
    <row r="19" spans="2:11" ht="18" x14ac:dyDescent="0.35">
      <c r="J19" s="68" t="s">
        <v>82</v>
      </c>
      <c r="K19" s="68">
        <f>K18/J18</f>
        <v>1.2381262144469549</v>
      </c>
    </row>
  </sheetData>
  <mergeCells count="1">
    <mergeCell ref="B12:C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D15:L37"/>
  <sheetViews>
    <sheetView workbookViewId="0">
      <selection activeCell="E37" sqref="E37"/>
    </sheetView>
  </sheetViews>
  <sheetFormatPr defaultColWidth="9" defaultRowHeight="17.399999999999999" x14ac:dyDescent="0.3"/>
  <cols>
    <col min="1" max="3" width="9" style="1"/>
    <col min="4" max="4" width="17" style="1" bestFit="1" customWidth="1"/>
    <col min="5" max="7" width="9" style="1"/>
    <col min="8" max="8" width="10.6328125" style="1" bestFit="1" customWidth="1"/>
    <col min="9" max="9" width="13.90625" style="1" bestFit="1" customWidth="1"/>
    <col min="10" max="16384" width="9" style="1"/>
  </cols>
  <sheetData>
    <row r="15" spans="4:11" x14ac:dyDescent="0.3">
      <c r="D15" s="18" t="s">
        <v>41</v>
      </c>
      <c r="E15" s="18"/>
      <c r="F15" s="18"/>
      <c r="G15" s="16"/>
      <c r="H15" s="16"/>
      <c r="I15" s="18" t="s">
        <v>41</v>
      </c>
      <c r="J15" s="18"/>
      <c r="K15" s="18"/>
    </row>
    <row r="16" spans="4:11" x14ac:dyDescent="0.3">
      <c r="D16" s="19" t="s">
        <v>42</v>
      </c>
      <c r="E16" s="20">
        <v>100</v>
      </c>
      <c r="F16" s="20"/>
      <c r="G16" s="16"/>
      <c r="H16" s="16"/>
      <c r="I16" s="19" t="s">
        <v>55</v>
      </c>
      <c r="J16" s="20">
        <v>1</v>
      </c>
      <c r="K16" s="20"/>
    </row>
    <row r="17" spans="4:11" x14ac:dyDescent="0.3">
      <c r="D17" s="19" t="s">
        <v>43</v>
      </c>
      <c r="E17" s="20">
        <v>2</v>
      </c>
      <c r="F17" s="20" t="s">
        <v>32</v>
      </c>
      <c r="G17" s="16"/>
      <c r="H17" s="16"/>
      <c r="I17" s="19" t="s">
        <v>57</v>
      </c>
      <c r="J17" s="20">
        <v>100</v>
      </c>
      <c r="K17" s="20"/>
    </row>
    <row r="18" spans="4:11" x14ac:dyDescent="0.3">
      <c r="D18" s="19" t="s">
        <v>44</v>
      </c>
      <c r="E18" s="20" t="s">
        <v>45</v>
      </c>
      <c r="F18" s="20"/>
      <c r="G18" s="16"/>
      <c r="H18" s="16"/>
      <c r="I18" s="19" t="s">
        <v>56</v>
      </c>
      <c r="J18" s="20">
        <v>0.5</v>
      </c>
      <c r="K18" s="20"/>
    </row>
    <row r="19" spans="4:11" x14ac:dyDescent="0.3">
      <c r="D19" s="19" t="s">
        <v>46</v>
      </c>
      <c r="E19" s="20">
        <f>4%</f>
        <v>0.04</v>
      </c>
      <c r="F19" s="20"/>
      <c r="G19" s="16"/>
      <c r="H19" s="16"/>
      <c r="I19" s="19" t="s">
        <v>58</v>
      </c>
      <c r="J19" s="20">
        <v>1</v>
      </c>
      <c r="K19" s="20" t="s">
        <v>32</v>
      </c>
    </row>
    <row r="20" spans="4:11" x14ac:dyDescent="0.3">
      <c r="D20" s="16"/>
      <c r="E20" s="16"/>
      <c r="F20" s="16"/>
      <c r="G20" s="16"/>
      <c r="H20" s="16"/>
      <c r="I20" s="16"/>
      <c r="J20" s="16"/>
      <c r="K20" s="16"/>
    </row>
    <row r="21" spans="4:11" x14ac:dyDescent="0.3">
      <c r="D21" s="16" t="s">
        <v>49</v>
      </c>
      <c r="E21" s="16">
        <f>E16*E19/2</f>
        <v>2</v>
      </c>
      <c r="F21" s="16"/>
      <c r="G21" s="16"/>
      <c r="H21" s="16"/>
      <c r="I21" s="16"/>
      <c r="J21" s="16"/>
      <c r="K21" s="16"/>
    </row>
    <row r="22" spans="4:11" x14ac:dyDescent="0.3">
      <c r="D22" s="16"/>
      <c r="E22" s="16"/>
      <c r="F22" s="16"/>
      <c r="G22" s="16"/>
      <c r="H22" s="16"/>
      <c r="I22" s="16"/>
      <c r="J22" s="16"/>
      <c r="K22" s="16"/>
    </row>
    <row r="23" spans="4:11" x14ac:dyDescent="0.3">
      <c r="D23" s="16"/>
      <c r="E23" s="16"/>
      <c r="F23" s="16"/>
      <c r="G23" s="16"/>
      <c r="H23" s="16"/>
      <c r="I23" s="16"/>
      <c r="J23" s="16"/>
      <c r="K23" s="16"/>
    </row>
    <row r="24" spans="4:11" x14ac:dyDescent="0.3">
      <c r="D24" s="16"/>
      <c r="E24" s="16"/>
      <c r="F24" s="16"/>
      <c r="G24" s="16"/>
      <c r="H24" s="16"/>
      <c r="I24" s="16"/>
      <c r="J24" s="16"/>
      <c r="K24" s="16"/>
    </row>
    <row r="25" spans="4:11" x14ac:dyDescent="0.3">
      <c r="D25" s="28" t="s">
        <v>47</v>
      </c>
      <c r="E25" s="29" t="s">
        <v>48</v>
      </c>
      <c r="F25" s="29" t="s">
        <v>50</v>
      </c>
      <c r="G25" s="29" t="s">
        <v>51</v>
      </c>
      <c r="H25" s="29" t="s">
        <v>52</v>
      </c>
      <c r="I25" s="29" t="s">
        <v>53</v>
      </c>
      <c r="J25" s="16"/>
      <c r="K25" s="16"/>
    </row>
    <row r="26" spans="4:11" x14ac:dyDescent="0.3">
      <c r="D26" s="19">
        <v>0</v>
      </c>
      <c r="E26" s="19"/>
      <c r="F26" s="17"/>
      <c r="G26" s="17"/>
      <c r="H26" s="17"/>
      <c r="I26" s="17"/>
      <c r="J26" s="16"/>
      <c r="K26" s="16"/>
    </row>
    <row r="27" spans="4:11" x14ac:dyDescent="0.3">
      <c r="D27" s="19">
        <v>0.5</v>
      </c>
      <c r="E27" s="70">
        <v>0.111</v>
      </c>
      <c r="F27" s="17">
        <v>12.5</v>
      </c>
      <c r="G27" s="24">
        <f>(1+E27)^-D27</f>
        <v>0.94873073577327527</v>
      </c>
      <c r="H27" s="24">
        <f>F27*G27</f>
        <v>11.859134197165941</v>
      </c>
      <c r="I27" s="24">
        <f>H27*D27</f>
        <v>5.9295670985829707</v>
      </c>
      <c r="J27" s="16"/>
      <c r="K27" s="16"/>
    </row>
    <row r="28" spans="4:11" x14ac:dyDescent="0.3">
      <c r="D28" s="19">
        <v>1</v>
      </c>
      <c r="E28" s="70">
        <v>0.113</v>
      </c>
      <c r="F28" s="17">
        <v>10</v>
      </c>
      <c r="G28" s="24">
        <f t="shared" ref="G28:G30" si="0">(1+E28)^-D28</f>
        <v>0.89847259658580414</v>
      </c>
      <c r="H28" s="24">
        <f t="shared" ref="H28:H30" si="1">F28*G28</f>
        <v>8.9847259658580416</v>
      </c>
      <c r="I28" s="24">
        <f t="shared" ref="I28:I30" si="2">H28*D28</f>
        <v>8.9847259658580416</v>
      </c>
      <c r="J28" s="16"/>
      <c r="K28" s="16"/>
    </row>
    <row r="29" spans="4:11" x14ac:dyDescent="0.3">
      <c r="D29" s="19">
        <v>1.5</v>
      </c>
      <c r="E29" s="70">
        <v>0.115</v>
      </c>
      <c r="F29" s="17">
        <v>12.5</v>
      </c>
      <c r="G29" s="24">
        <f t="shared" si="0"/>
        <v>0.84935197096032</v>
      </c>
      <c r="H29" s="24">
        <f t="shared" si="1"/>
        <v>10.616899637004</v>
      </c>
      <c r="I29" s="24">
        <f t="shared" si="2"/>
        <v>15.925349455506</v>
      </c>
      <c r="J29" s="16"/>
      <c r="K29" s="16"/>
    </row>
    <row r="30" spans="4:11" x14ac:dyDescent="0.3">
      <c r="D30" s="19">
        <v>2</v>
      </c>
      <c r="E30" s="70">
        <v>0.11700000000000001</v>
      </c>
      <c r="F30" s="17">
        <v>235</v>
      </c>
      <c r="G30" s="24">
        <f t="shared" si="0"/>
        <v>0.80148177951396538</v>
      </c>
      <c r="H30" s="24">
        <f t="shared" si="1"/>
        <v>188.34821818578186</v>
      </c>
      <c r="I30" s="24">
        <f t="shared" si="2"/>
        <v>376.69643637156372</v>
      </c>
      <c r="J30" s="16"/>
      <c r="K30" s="16"/>
    </row>
    <row r="31" spans="4:11" x14ac:dyDescent="0.3">
      <c r="D31" s="16"/>
      <c r="E31" s="16"/>
      <c r="F31" s="16"/>
      <c r="G31" s="21"/>
      <c r="H31" s="24">
        <f>SUM(H27:H30)</f>
        <v>219.80897798580983</v>
      </c>
      <c r="I31" s="24">
        <f>SUM(I27:I30)</f>
        <v>407.53607889151073</v>
      </c>
      <c r="J31" s="16"/>
      <c r="K31" s="16"/>
    </row>
    <row r="32" spans="4:11" x14ac:dyDescent="0.3">
      <c r="D32" s="16"/>
      <c r="E32" s="16"/>
      <c r="F32" s="16"/>
      <c r="G32" s="21"/>
      <c r="H32" s="21"/>
      <c r="I32" s="25">
        <f>I31/H31</f>
        <v>1.8540465572694667</v>
      </c>
      <c r="J32" s="16" t="s">
        <v>54</v>
      </c>
      <c r="K32" s="16"/>
    </row>
    <row r="33" spans="4:12" x14ac:dyDescent="0.3">
      <c r="D33" s="16"/>
      <c r="E33" s="16"/>
      <c r="F33" s="16"/>
      <c r="G33" s="16"/>
      <c r="H33" s="16"/>
      <c r="I33" s="16"/>
      <c r="J33" s="16"/>
      <c r="K33" s="16"/>
    </row>
    <row r="35" spans="4:12" x14ac:dyDescent="0.3">
      <c r="D35" s="19" t="s">
        <v>59</v>
      </c>
      <c r="E35" s="20">
        <f>J17*(1+E27)^-D27</f>
        <v>94.873073577327531</v>
      </c>
    </row>
    <row r="36" spans="4:12" ht="19.8" x14ac:dyDescent="0.3">
      <c r="D36" s="19" t="s">
        <v>40</v>
      </c>
      <c r="E36" s="20">
        <f>J18</f>
        <v>0.5</v>
      </c>
      <c r="K36" s="64"/>
      <c r="L36" s="64"/>
    </row>
    <row r="37" spans="4:12" x14ac:dyDescent="0.3">
      <c r="D37" s="19" t="s">
        <v>61</v>
      </c>
      <c r="E37" s="20">
        <f>J16*H31*(I32-J19)/(E35*(E36-J19))</f>
        <v>-3.9574368959953943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0:N26"/>
  <sheetViews>
    <sheetView workbookViewId="0">
      <selection activeCell="B22" sqref="B22:K29"/>
    </sheetView>
  </sheetViews>
  <sheetFormatPr defaultColWidth="9" defaultRowHeight="17.399999999999999" x14ac:dyDescent="0.3"/>
  <cols>
    <col min="1" max="3" width="9" style="1"/>
    <col min="4" max="4" width="12.08984375" style="1" bestFit="1" customWidth="1"/>
    <col min="5" max="7" width="9" style="1"/>
    <col min="8" max="8" width="9.26953125" style="1" bestFit="1" customWidth="1"/>
    <col min="9" max="9" width="9" style="1"/>
    <col min="10" max="10" width="12.6328125" style="1" customWidth="1"/>
    <col min="11" max="11" width="14.7265625" style="1" customWidth="1"/>
    <col min="12" max="13" width="9" style="1"/>
    <col min="14" max="14" width="12.08984375" style="1" bestFit="1" customWidth="1"/>
    <col min="15" max="16384" width="9" style="1"/>
  </cols>
  <sheetData>
    <row r="10" spans="2:11" ht="19.8" x14ac:dyDescent="0.4">
      <c r="B10" s="85" t="s">
        <v>29</v>
      </c>
      <c r="C10" s="85"/>
      <c r="D10" s="10"/>
      <c r="G10" s="15" t="s">
        <v>30</v>
      </c>
      <c r="H10" s="26" t="s">
        <v>51</v>
      </c>
      <c r="I10" s="26" t="s">
        <v>81</v>
      </c>
      <c r="J10" s="26" t="s">
        <v>21</v>
      </c>
      <c r="K10" s="26" t="s">
        <v>22</v>
      </c>
    </row>
    <row r="11" spans="2:11" ht="18" x14ac:dyDescent="0.35">
      <c r="B11" s="14" t="s">
        <v>31</v>
      </c>
      <c r="C11" s="11">
        <v>100</v>
      </c>
      <c r="D11" s="10"/>
      <c r="G11" s="14">
        <v>0</v>
      </c>
      <c r="H11" s="67"/>
    </row>
    <row r="12" spans="2:11" ht="18" x14ac:dyDescent="0.35">
      <c r="B12" s="14" t="s">
        <v>80</v>
      </c>
      <c r="C12" s="11">
        <v>7</v>
      </c>
      <c r="D12" s="10" t="s">
        <v>32</v>
      </c>
      <c r="G12" s="14">
        <v>1</v>
      </c>
      <c r="H12" s="68">
        <f>(1+$C$14)^-G12</f>
        <v>0.88707531269404771</v>
      </c>
      <c r="I12" s="69">
        <f>$C$11*$C$14</f>
        <v>12.73</v>
      </c>
      <c r="J12" s="68">
        <f>H12*I12</f>
        <v>11.292468730595228</v>
      </c>
      <c r="K12" s="68">
        <f>J12*G12</f>
        <v>11.292468730595228</v>
      </c>
    </row>
    <row r="13" spans="2:11" ht="18" x14ac:dyDescent="0.35">
      <c r="B13" s="14" t="s">
        <v>44</v>
      </c>
      <c r="C13" s="11">
        <v>1</v>
      </c>
      <c r="D13" s="10"/>
      <c r="G13" s="14">
        <v>2</v>
      </c>
      <c r="H13" s="68">
        <f t="shared" ref="H13:H18" si="0">(1+$C$14)^-G13</f>
        <v>0.78690261039124254</v>
      </c>
      <c r="I13" s="69">
        <f t="shared" ref="I13:I17" si="1">$C$11*$C$14</f>
        <v>12.73</v>
      </c>
      <c r="J13" s="68">
        <f t="shared" ref="J13:J18" si="2">H13*I13</f>
        <v>10.017270230280518</v>
      </c>
      <c r="K13" s="68">
        <f t="shared" ref="K13:K18" si="3">J13*G13</f>
        <v>20.034540460561036</v>
      </c>
    </row>
    <row r="14" spans="2:11" ht="18" x14ac:dyDescent="0.35">
      <c r="B14" s="14" t="s">
        <v>84</v>
      </c>
      <c r="C14" s="66">
        <v>0.1273</v>
      </c>
      <c r="G14" s="14">
        <v>3</v>
      </c>
      <c r="H14" s="68">
        <f t="shared" si="0"/>
        <v>0.69804187917257388</v>
      </c>
      <c r="I14" s="69">
        <f t="shared" si="1"/>
        <v>12.73</v>
      </c>
      <c r="J14" s="68">
        <f t="shared" si="2"/>
        <v>8.8860731218668665</v>
      </c>
      <c r="K14" s="68">
        <f t="shared" si="3"/>
        <v>26.658219365600601</v>
      </c>
    </row>
    <row r="15" spans="2:11" ht="18" x14ac:dyDescent="0.35">
      <c r="G15" s="14">
        <v>4</v>
      </c>
      <c r="H15" s="68">
        <f t="shared" si="0"/>
        <v>0.61921571824055166</v>
      </c>
      <c r="I15" s="69">
        <f t="shared" si="1"/>
        <v>12.73</v>
      </c>
      <c r="J15" s="68">
        <f t="shared" si="2"/>
        <v>7.8826160932022233</v>
      </c>
      <c r="K15" s="68">
        <f t="shared" si="3"/>
        <v>31.530464372808893</v>
      </c>
    </row>
    <row r="16" spans="2:11" ht="18" x14ac:dyDescent="0.35">
      <c r="G16" s="14">
        <v>5</v>
      </c>
      <c r="H16" s="68">
        <f t="shared" si="0"/>
        <v>0.54929097688330675</v>
      </c>
      <c r="I16" s="69">
        <f t="shared" si="1"/>
        <v>12.73</v>
      </c>
      <c r="J16" s="68">
        <f t="shared" si="2"/>
        <v>6.9924741357244953</v>
      </c>
      <c r="K16" s="68">
        <f t="shared" si="3"/>
        <v>34.962370678622477</v>
      </c>
    </row>
    <row r="17" spans="4:14" ht="18" x14ac:dyDescent="0.35">
      <c r="G17" s="14">
        <v>6</v>
      </c>
      <c r="H17" s="68">
        <f t="shared" si="0"/>
        <v>0.4872624650787783</v>
      </c>
      <c r="I17" s="69">
        <f t="shared" si="1"/>
        <v>12.73</v>
      </c>
      <c r="J17" s="68">
        <f t="shared" si="2"/>
        <v>6.2028511804528481</v>
      </c>
      <c r="K17" s="68">
        <f t="shared" si="3"/>
        <v>37.217107082717092</v>
      </c>
    </row>
    <row r="18" spans="4:14" ht="18" x14ac:dyDescent="0.35">
      <c r="G18" s="14">
        <v>7</v>
      </c>
      <c r="H18" s="68">
        <f t="shared" si="0"/>
        <v>0.43223850357382976</v>
      </c>
      <c r="I18" s="69">
        <f>$C$11*$C$14+C11</f>
        <v>112.73</v>
      </c>
      <c r="J18" s="68">
        <f t="shared" si="2"/>
        <v>48.726246507877832</v>
      </c>
      <c r="K18" s="68">
        <f t="shared" si="3"/>
        <v>341.08372555514484</v>
      </c>
    </row>
    <row r="19" spans="4:14" ht="18" x14ac:dyDescent="0.35">
      <c r="J19" s="68">
        <f>SUM(J12:J18)</f>
        <v>100</v>
      </c>
      <c r="K19" s="68">
        <f>SUM(K12:K18)</f>
        <v>502.77889624605018</v>
      </c>
    </row>
    <row r="20" spans="4:14" ht="18" x14ac:dyDescent="0.35">
      <c r="J20" s="68" t="s">
        <v>82</v>
      </c>
      <c r="K20" s="68">
        <f>K19/J19</f>
        <v>5.0277889624605017</v>
      </c>
    </row>
    <row r="23" spans="4:14" x14ac:dyDescent="0.3">
      <c r="N23" s="71"/>
    </row>
    <row r="24" spans="4:14" x14ac:dyDescent="0.3">
      <c r="N24" s="72"/>
    </row>
    <row r="26" spans="4:14" x14ac:dyDescent="0.3">
      <c r="D26" s="72"/>
    </row>
  </sheetData>
  <mergeCells count="1"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DUR_ES1</vt:lpstr>
      <vt:lpstr>DUR_ES2</vt:lpstr>
      <vt:lpstr>DUR_ES3</vt:lpstr>
      <vt:lpstr>DUR_ES4</vt:lpstr>
      <vt:lpstr>DUR_ES5</vt:lpstr>
      <vt:lpstr>DUR_ES6</vt:lpstr>
      <vt:lpstr>DUR_ES7</vt:lpstr>
      <vt:lpstr>DUR_ES8</vt:lpstr>
      <vt:lpstr>DUR_ES9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valdivia</dc:creator>
  <cp:lastModifiedBy>Zelda Marino</cp:lastModifiedBy>
  <dcterms:created xsi:type="dcterms:W3CDTF">2011-12-13T10:03:01Z</dcterms:created>
  <dcterms:modified xsi:type="dcterms:W3CDTF">2020-11-10T13:42:55Z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</Properties>
</file>