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3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dd239430b66c60/Documenti/01_1 universita/lezioni/"/>
    </mc:Choice>
  </mc:AlternateContent>
  <xr:revisionPtr revIDLastSave="0" documentId="8_{86C5B7D7-DD05-498D-B523-464738614955}" xr6:coauthVersionLast="47" xr6:coauthVersionMax="47" xr10:uidLastSave="{00000000-0000-0000-0000-000000000000}"/>
  <bookViews>
    <workbookView xWindow="-108" yWindow="-108" windowWidth="23256" windowHeight="12456" firstSheet="2" activeTab="3" xr2:uid="{BE223585-A22D-4BB0-9430-878ADA611038}"/>
  </bookViews>
  <sheets>
    <sheet name="budget vendite" sheetId="5" r:id="rId1"/>
    <sheet name="piano di produzione" sheetId="6" r:id="rId2"/>
    <sheet name="budget scorte prodotti fin" sheetId="7" r:id="rId3"/>
    <sheet name="ROUTING" sheetId="8" r:id="rId4"/>
    <sheet name="manodopera diretta e costo h" sheetId="2" r:id="rId5"/>
    <sheet name="BOM" sheetId="9" r:id="rId6"/>
    <sheet name="budget scorte mat ed acquisti" sheetId="10" r:id="rId7"/>
    <sheet name="costo primo e margini" sheetId="11" r:id="rId8"/>
    <sheet name="altri costi industriali" sheetId="13" r:id="rId9"/>
    <sheet name="fatturato e margini" sheetId="1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3" l="1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M30" i="13"/>
  <c r="L26" i="13"/>
  <c r="K26" i="13"/>
  <c r="J26" i="13"/>
  <c r="I26" i="13"/>
  <c r="H26" i="13"/>
  <c r="G26" i="13"/>
  <c r="F26" i="13"/>
  <c r="E26" i="13"/>
  <c r="D26" i="13"/>
  <c r="C26" i="13"/>
  <c r="B26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M26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M22" i="13"/>
  <c r="T5" i="9"/>
  <c r="S5" i="9"/>
  <c r="R5" i="9"/>
  <c r="Q5" i="9"/>
  <c r="T4" i="9"/>
  <c r="T6" i="9" s="1"/>
  <c r="S4" i="9"/>
  <c r="S6" i="9" s="1"/>
  <c r="R4" i="9"/>
  <c r="R6" i="9" s="1"/>
  <c r="Q4" i="9"/>
  <c r="Q6" i="9" s="1"/>
  <c r="T20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1" i="9"/>
  <c r="M11" i="9"/>
  <c r="L11" i="9"/>
  <c r="K11" i="9"/>
  <c r="J11" i="9"/>
  <c r="I11" i="9"/>
  <c r="H11" i="9"/>
  <c r="G11" i="9"/>
  <c r="F11" i="9"/>
  <c r="E11" i="9"/>
  <c r="D11" i="9"/>
  <c r="C11" i="9"/>
  <c r="N10" i="9"/>
  <c r="M10" i="9"/>
  <c r="L10" i="9"/>
  <c r="K10" i="9"/>
  <c r="J10" i="9"/>
  <c r="I10" i="9"/>
  <c r="H10" i="9"/>
  <c r="G10" i="9"/>
  <c r="F10" i="9"/>
  <c r="E10" i="9"/>
  <c r="D10" i="9"/>
  <c r="C10" i="9"/>
  <c r="F14" i="2"/>
  <c r="C10" i="8"/>
  <c r="N20" i="8"/>
  <c r="M20" i="8"/>
  <c r="L20" i="8"/>
  <c r="K20" i="8"/>
  <c r="J20" i="8"/>
  <c r="I20" i="8"/>
  <c r="H20" i="8"/>
  <c r="G20" i="8"/>
  <c r="F20" i="8"/>
  <c r="E20" i="8"/>
  <c r="D20" i="8"/>
  <c r="C20" i="8"/>
  <c r="B12" i="8"/>
  <c r="B10" i="8"/>
  <c r="B11" i="8"/>
  <c r="E25" i="2"/>
  <c r="E24" i="2"/>
  <c r="F12" i="2"/>
  <c r="J26" i="8"/>
  <c r="C16" i="8"/>
  <c r="J12" i="8"/>
  <c r="J28" i="8" s="1"/>
  <c r="J11" i="8"/>
  <c r="J27" i="8" s="1"/>
  <c r="J10" i="8"/>
  <c r="B18" i="8"/>
  <c r="J18" i="8" s="1"/>
  <c r="J33" i="8" s="1"/>
  <c r="B16" i="8"/>
  <c r="B17" i="8" s="1"/>
  <c r="J17" i="8" s="1"/>
  <c r="D24" i="7"/>
  <c r="E24" i="7" s="1"/>
  <c r="F24" i="7" s="1"/>
  <c r="G24" i="7" s="1"/>
  <c r="F18" i="7"/>
  <c r="N19" i="7"/>
  <c r="B19" i="7"/>
  <c r="F15" i="7"/>
  <c r="N16" i="7"/>
  <c r="B16" i="7"/>
  <c r="I7" i="13"/>
  <c r="N8" i="6"/>
  <c r="N7" i="6"/>
  <c r="S3" i="11"/>
  <c r="Q3" i="11"/>
  <c r="P3" i="11"/>
  <c r="U8" i="12"/>
  <c r="L8" i="12"/>
  <c r="K8" i="12"/>
  <c r="I8" i="12"/>
  <c r="H8" i="12"/>
  <c r="G8" i="12"/>
  <c r="F8" i="12"/>
  <c r="E8" i="12"/>
  <c r="D8" i="12"/>
  <c r="I7" i="12"/>
  <c r="H7" i="12"/>
  <c r="G7" i="12"/>
  <c r="F7" i="12"/>
  <c r="E7" i="12"/>
  <c r="D7" i="12"/>
  <c r="C7" i="12"/>
  <c r="I5" i="12"/>
  <c r="T4" i="12"/>
  <c r="S4" i="12"/>
  <c r="R4" i="12"/>
  <c r="Q4" i="12"/>
  <c r="N4" i="12"/>
  <c r="M4" i="12"/>
  <c r="L4" i="12"/>
  <c r="K4" i="12"/>
  <c r="J4" i="12"/>
  <c r="I4" i="12"/>
  <c r="H4" i="12"/>
  <c r="G4" i="12"/>
  <c r="F4" i="12"/>
  <c r="E4" i="12"/>
  <c r="D4" i="12"/>
  <c r="C4" i="12"/>
  <c r="T3" i="12"/>
  <c r="S3" i="12"/>
  <c r="R3" i="12"/>
  <c r="Q3" i="12"/>
  <c r="N3" i="12"/>
  <c r="M3" i="12"/>
  <c r="L3" i="12"/>
  <c r="K3" i="12"/>
  <c r="J3" i="12"/>
  <c r="I3" i="12"/>
  <c r="H3" i="12"/>
  <c r="H5" i="12" s="1"/>
  <c r="G3" i="12"/>
  <c r="F3" i="12"/>
  <c r="E3" i="12"/>
  <c r="D3" i="12"/>
  <c r="C3" i="12"/>
  <c r="N64" i="10"/>
  <c r="M64" i="10"/>
  <c r="L64" i="10"/>
  <c r="K64" i="10"/>
  <c r="J64" i="10"/>
  <c r="I64" i="10"/>
  <c r="I65" i="10" s="1"/>
  <c r="I66" i="10" s="1"/>
  <c r="H64" i="10"/>
  <c r="H65" i="10" s="1"/>
  <c r="H66" i="10" s="1"/>
  <c r="G64" i="10"/>
  <c r="G65" i="10" s="1"/>
  <c r="G66" i="10" s="1"/>
  <c r="F64" i="10"/>
  <c r="F65" i="10" s="1"/>
  <c r="F66" i="10" s="1"/>
  <c r="E64" i="10"/>
  <c r="D64" i="10"/>
  <c r="C64" i="10"/>
  <c r="C65" i="10" s="1"/>
  <c r="C66" i="10" s="1"/>
  <c r="L65" i="10"/>
  <c r="L66" i="10" s="1"/>
  <c r="E65" i="10"/>
  <c r="E66" i="10" s="1"/>
  <c r="D65" i="10"/>
  <c r="D66" i="10" s="1"/>
  <c r="K65" i="10"/>
  <c r="K66" i="10" s="1"/>
  <c r="N44" i="10"/>
  <c r="N45" i="10" s="1"/>
  <c r="M44" i="10"/>
  <c r="M45" i="10" s="1"/>
  <c r="L44" i="10"/>
  <c r="L45" i="10" s="1"/>
  <c r="K44" i="10"/>
  <c r="K45" i="10" s="1"/>
  <c r="J44" i="10"/>
  <c r="J45" i="10" s="1"/>
  <c r="I44" i="10"/>
  <c r="I45" i="10" s="1"/>
  <c r="H44" i="10"/>
  <c r="H45" i="10" s="1"/>
  <c r="G44" i="10"/>
  <c r="G45" i="10" s="1"/>
  <c r="E44" i="10"/>
  <c r="D44" i="10"/>
  <c r="C44" i="10"/>
  <c r="F44" i="10"/>
  <c r="F45" i="10" s="1"/>
  <c r="N65" i="10"/>
  <c r="N66" i="10" s="1"/>
  <c r="M65" i="10"/>
  <c r="M66" i="10" s="1"/>
  <c r="J65" i="10"/>
  <c r="J66" i="10" s="1"/>
  <c r="C45" i="10"/>
  <c r="E45" i="10"/>
  <c r="D45" i="10"/>
  <c r="N23" i="10"/>
  <c r="N24" i="10" s="1"/>
  <c r="N25" i="10" s="1"/>
  <c r="M23" i="10"/>
  <c r="M24" i="10" s="1"/>
  <c r="M25" i="10" s="1"/>
  <c r="L23" i="10"/>
  <c r="L24" i="10" s="1"/>
  <c r="L25" i="10" s="1"/>
  <c r="K23" i="10"/>
  <c r="K24" i="10" s="1"/>
  <c r="K25" i="10" s="1"/>
  <c r="J23" i="10"/>
  <c r="I23" i="10"/>
  <c r="H23" i="10"/>
  <c r="H24" i="10" s="1"/>
  <c r="H25" i="10" s="1"/>
  <c r="G23" i="10"/>
  <c r="G24" i="10" s="1"/>
  <c r="G25" i="10" s="1"/>
  <c r="F23" i="10"/>
  <c r="E23" i="10"/>
  <c r="E24" i="10" s="1"/>
  <c r="E25" i="10" s="1"/>
  <c r="D23" i="10"/>
  <c r="D24" i="10" s="1"/>
  <c r="D25" i="10" s="1"/>
  <c r="J24" i="10"/>
  <c r="J25" i="10" s="1"/>
  <c r="I24" i="10"/>
  <c r="I25" i="10" s="1"/>
  <c r="F24" i="10"/>
  <c r="F25" i="10" s="1"/>
  <c r="C24" i="10"/>
  <c r="C25" i="10" s="1"/>
  <c r="C23" i="10"/>
  <c r="O55" i="10"/>
  <c r="O35" i="10"/>
  <c r="O14" i="10"/>
  <c r="T10" i="7"/>
  <c r="S4" i="11" s="1"/>
  <c r="S10" i="7"/>
  <c r="R4" i="11" s="1"/>
  <c r="R10" i="7"/>
  <c r="Q4" i="11" s="1"/>
  <c r="Q10" i="7"/>
  <c r="T9" i="7"/>
  <c r="S9" i="7"/>
  <c r="R3" i="11" s="1"/>
  <c r="R9" i="7"/>
  <c r="Q9" i="7"/>
  <c r="U9" i="7" s="1"/>
  <c r="Q12" i="6"/>
  <c r="Q11" i="6"/>
  <c r="S12" i="6"/>
  <c r="S11" i="6"/>
  <c r="T12" i="6"/>
  <c r="T11" i="6"/>
  <c r="P11" i="6"/>
  <c r="S13" i="6"/>
  <c r="R13" i="6"/>
  <c r="Q13" i="6"/>
  <c r="P13" i="6"/>
  <c r="B5" i="10"/>
  <c r="B4" i="10"/>
  <c r="B3" i="10"/>
  <c r="N21" i="8"/>
  <c r="M21" i="8"/>
  <c r="L21" i="8"/>
  <c r="K21" i="8"/>
  <c r="J21" i="8"/>
  <c r="I21" i="8"/>
  <c r="H21" i="8"/>
  <c r="G21" i="8"/>
  <c r="F21" i="8"/>
  <c r="E21" i="8"/>
  <c r="D21" i="8"/>
  <c r="C21" i="8"/>
  <c r="D10" i="7"/>
  <c r="D5" i="8" s="1"/>
  <c r="C10" i="7"/>
  <c r="C5" i="8" s="1"/>
  <c r="S4" i="6"/>
  <c r="T4" i="7" s="1"/>
  <c r="R4" i="6"/>
  <c r="S4" i="7" s="1"/>
  <c r="Q4" i="6"/>
  <c r="R4" i="7" s="1"/>
  <c r="P4" i="6"/>
  <c r="Q4" i="7" s="1"/>
  <c r="S3" i="6"/>
  <c r="T3" i="7" s="1"/>
  <c r="R3" i="6"/>
  <c r="S3" i="7" s="1"/>
  <c r="Q3" i="6"/>
  <c r="P3" i="6"/>
  <c r="S5" i="5"/>
  <c r="R5" i="5"/>
  <c r="Q5" i="5"/>
  <c r="P5" i="5"/>
  <c r="T4" i="5"/>
  <c r="T11" i="5" s="1"/>
  <c r="T3" i="5"/>
  <c r="T10" i="5" s="1"/>
  <c r="U7" i="12" s="1"/>
  <c r="M4" i="6"/>
  <c r="N4" i="7" s="1"/>
  <c r="N30" i="7" s="1"/>
  <c r="L4" i="6"/>
  <c r="M4" i="7" s="1"/>
  <c r="M30" i="7" s="1"/>
  <c r="K4" i="6"/>
  <c r="L4" i="7" s="1"/>
  <c r="J4" i="6"/>
  <c r="K4" i="7" s="1"/>
  <c r="K30" i="7" s="1"/>
  <c r="I4" i="6"/>
  <c r="J4" i="7" s="1"/>
  <c r="J30" i="7" s="1"/>
  <c r="H4" i="6"/>
  <c r="I4" i="7" s="1"/>
  <c r="I30" i="7" s="1"/>
  <c r="G4" i="6"/>
  <c r="H4" i="7" s="1"/>
  <c r="H30" i="7" s="1"/>
  <c r="F4" i="6"/>
  <c r="G4" i="7" s="1"/>
  <c r="G30" i="7" s="1"/>
  <c r="E4" i="6"/>
  <c r="F4" i="7" s="1"/>
  <c r="D4" i="6"/>
  <c r="E4" i="7" s="1"/>
  <c r="E30" i="7" s="1"/>
  <c r="C4" i="6"/>
  <c r="D4" i="7" s="1"/>
  <c r="D30" i="7" s="1"/>
  <c r="B4" i="6"/>
  <c r="C4" i="7" s="1"/>
  <c r="B33" i="7" s="1"/>
  <c r="M3" i="6"/>
  <c r="N3" i="7" s="1"/>
  <c r="N23" i="7" s="1"/>
  <c r="L3" i="6"/>
  <c r="M3" i="7" s="1"/>
  <c r="M23" i="7" s="1"/>
  <c r="K3" i="6"/>
  <c r="L3" i="7" s="1"/>
  <c r="L23" i="7" s="1"/>
  <c r="J3" i="6"/>
  <c r="K3" i="7" s="1"/>
  <c r="K23" i="7" s="1"/>
  <c r="I3" i="6"/>
  <c r="J3" i="7" s="1"/>
  <c r="J23" i="7" s="1"/>
  <c r="H3" i="6"/>
  <c r="I3" i="7" s="1"/>
  <c r="I23" i="7" s="1"/>
  <c r="G3" i="6"/>
  <c r="H3" i="7" s="1"/>
  <c r="H23" i="7" s="1"/>
  <c r="F3" i="6"/>
  <c r="G3" i="7" s="1"/>
  <c r="G23" i="7" s="1"/>
  <c r="E3" i="6"/>
  <c r="F3" i="7" s="1"/>
  <c r="F23" i="7" s="1"/>
  <c r="D3" i="6"/>
  <c r="E3" i="7" s="1"/>
  <c r="E23" i="7" s="1"/>
  <c r="C3" i="6"/>
  <c r="D3" i="7" s="1"/>
  <c r="D23" i="7" s="1"/>
  <c r="B3" i="6"/>
  <c r="C3" i="7" s="1"/>
  <c r="C23" i="7" s="1"/>
  <c r="O32" i="7"/>
  <c r="O25" i="7"/>
  <c r="Q5" i="12" l="1"/>
  <c r="S5" i="12"/>
  <c r="T5" i="12"/>
  <c r="N28" i="13"/>
  <c r="N29" i="13"/>
  <c r="N24" i="13"/>
  <c r="N25" i="13"/>
  <c r="N20" i="13"/>
  <c r="N21" i="13"/>
  <c r="Q11" i="9"/>
  <c r="I11" i="13"/>
  <c r="I8" i="13"/>
  <c r="J32" i="8"/>
  <c r="I3" i="13"/>
  <c r="C17" i="8"/>
  <c r="D17" i="8"/>
  <c r="D16" i="8"/>
  <c r="D31" i="8" s="1"/>
  <c r="J16" i="8"/>
  <c r="J31" i="8" s="1"/>
  <c r="I12" i="13" s="1"/>
  <c r="I13" i="13" s="1"/>
  <c r="B8" i="13"/>
  <c r="C32" i="8"/>
  <c r="D32" i="8"/>
  <c r="C8" i="13"/>
  <c r="D18" i="8"/>
  <c r="C18" i="8"/>
  <c r="C33" i="8" s="1"/>
  <c r="C31" i="8"/>
  <c r="G5" i="12"/>
  <c r="I9" i="13"/>
  <c r="Q11" i="7"/>
  <c r="S20" i="9"/>
  <c r="R11" i="7"/>
  <c r="S11" i="7"/>
  <c r="C5" i="9"/>
  <c r="T11" i="7"/>
  <c r="D5" i="9"/>
  <c r="U10" i="7"/>
  <c r="P4" i="11"/>
  <c r="T4" i="11" s="1"/>
  <c r="R11" i="9"/>
  <c r="R29" i="9" s="1"/>
  <c r="R4" i="10" s="1"/>
  <c r="S11" i="9"/>
  <c r="S29" i="9" s="1"/>
  <c r="S4" i="10" s="1"/>
  <c r="T11" i="9"/>
  <c r="T29" i="9" s="1"/>
  <c r="T4" i="10" s="1"/>
  <c r="B4" i="11"/>
  <c r="C4" i="11"/>
  <c r="E5" i="12"/>
  <c r="D5" i="12"/>
  <c r="E9" i="12"/>
  <c r="C5" i="12"/>
  <c r="H9" i="12"/>
  <c r="J5" i="12"/>
  <c r="D9" i="12"/>
  <c r="R5" i="12"/>
  <c r="K5" i="12"/>
  <c r="F5" i="12"/>
  <c r="U4" i="12"/>
  <c r="U9" i="12"/>
  <c r="I9" i="12"/>
  <c r="O3" i="12"/>
  <c r="O4" i="12"/>
  <c r="M5" i="12"/>
  <c r="G9" i="12"/>
  <c r="N5" i="12"/>
  <c r="S5" i="11"/>
  <c r="L5" i="12"/>
  <c r="U3" i="12"/>
  <c r="F9" i="12"/>
  <c r="Q5" i="11"/>
  <c r="R5" i="11"/>
  <c r="T3" i="11"/>
  <c r="Q21" i="9"/>
  <c r="R21" i="9"/>
  <c r="S21" i="9"/>
  <c r="Q29" i="9"/>
  <c r="Q20" i="9"/>
  <c r="Q10" i="9"/>
  <c r="S10" i="9"/>
  <c r="T10" i="9"/>
  <c r="T28" i="9" s="1"/>
  <c r="T3" i="10" s="1"/>
  <c r="O66" i="10"/>
  <c r="O46" i="10"/>
  <c r="O25" i="10"/>
  <c r="O65" i="10"/>
  <c r="O24" i="10"/>
  <c r="O45" i="10"/>
  <c r="T13" i="6"/>
  <c r="C12" i="6"/>
  <c r="B12" i="6"/>
  <c r="P5" i="6"/>
  <c r="F5" i="7"/>
  <c r="R5" i="6"/>
  <c r="Q5" i="6"/>
  <c r="S5" i="6"/>
  <c r="R3" i="7"/>
  <c r="R5" i="7" s="1"/>
  <c r="Q3" i="7"/>
  <c r="L5" i="7"/>
  <c r="C30" i="7"/>
  <c r="E10" i="7"/>
  <c r="L30" i="7"/>
  <c r="B26" i="7"/>
  <c r="F30" i="7"/>
  <c r="C5" i="7"/>
  <c r="M5" i="7"/>
  <c r="S5" i="7"/>
  <c r="N5" i="7"/>
  <c r="T5" i="7"/>
  <c r="G5" i="7"/>
  <c r="H5" i="7"/>
  <c r="I5" i="7"/>
  <c r="J5" i="7"/>
  <c r="K5" i="7"/>
  <c r="E5" i="7"/>
  <c r="D5" i="7"/>
  <c r="C29" i="7"/>
  <c r="U4" i="7"/>
  <c r="T12" i="5"/>
  <c r="T5" i="5"/>
  <c r="S28" i="9" l="1"/>
  <c r="S3" i="10" s="1"/>
  <c r="B12" i="13"/>
  <c r="I4" i="13"/>
  <c r="I5" i="13" s="1"/>
  <c r="C4" i="13"/>
  <c r="D33" i="8"/>
  <c r="C12" i="13" s="1"/>
  <c r="B4" i="13"/>
  <c r="P5" i="11"/>
  <c r="T21" i="9"/>
  <c r="T30" i="9" s="1"/>
  <c r="T5" i="10" s="1"/>
  <c r="T6" i="10" s="1"/>
  <c r="U5" i="9"/>
  <c r="U11" i="7"/>
  <c r="C30" i="9"/>
  <c r="C5" i="10" s="1"/>
  <c r="D4" i="11"/>
  <c r="E5" i="9"/>
  <c r="U11" i="9"/>
  <c r="V4" i="12"/>
  <c r="O5" i="12"/>
  <c r="T5" i="11"/>
  <c r="V3" i="12"/>
  <c r="U5" i="12"/>
  <c r="S30" i="9"/>
  <c r="S5" i="10" s="1"/>
  <c r="S6" i="10" s="1"/>
  <c r="R30" i="9"/>
  <c r="R5" i="10" s="1"/>
  <c r="Q30" i="9"/>
  <c r="Q28" i="9"/>
  <c r="Q4" i="10"/>
  <c r="U29" i="9"/>
  <c r="O26" i="10"/>
  <c r="O67" i="10"/>
  <c r="B25" i="9" s="1"/>
  <c r="O47" i="10"/>
  <c r="B15" i="9" s="1"/>
  <c r="E5" i="8"/>
  <c r="D12" i="6"/>
  <c r="Q5" i="7"/>
  <c r="U3" i="7"/>
  <c r="C33" i="7"/>
  <c r="F10" i="7"/>
  <c r="U5" i="7"/>
  <c r="O5" i="7"/>
  <c r="C22" i="7"/>
  <c r="O4" i="7"/>
  <c r="T4" i="6"/>
  <c r="T3" i="6"/>
  <c r="M5" i="6"/>
  <c r="L5" i="6"/>
  <c r="K5" i="6"/>
  <c r="J5" i="6"/>
  <c r="I5" i="6"/>
  <c r="H5" i="6"/>
  <c r="G5" i="6"/>
  <c r="F5" i="6"/>
  <c r="E5" i="6"/>
  <c r="D5" i="6"/>
  <c r="C5" i="6"/>
  <c r="B5" i="6"/>
  <c r="N4" i="6"/>
  <c r="N3" i="6"/>
  <c r="M11" i="5"/>
  <c r="N8" i="12" s="1"/>
  <c r="L11" i="5"/>
  <c r="M8" i="12" s="1"/>
  <c r="K11" i="5"/>
  <c r="J11" i="5"/>
  <c r="I11" i="5"/>
  <c r="J8" i="12" s="1"/>
  <c r="H11" i="5"/>
  <c r="G11" i="5"/>
  <c r="F11" i="5"/>
  <c r="E11" i="5"/>
  <c r="D11" i="5"/>
  <c r="C11" i="5"/>
  <c r="B11" i="5"/>
  <c r="C8" i="12" s="1"/>
  <c r="M10" i="5"/>
  <c r="N7" i="12" s="1"/>
  <c r="L10" i="5"/>
  <c r="M7" i="12" s="1"/>
  <c r="K10" i="5"/>
  <c r="L7" i="12" s="1"/>
  <c r="J10" i="5"/>
  <c r="K7" i="12" s="1"/>
  <c r="I10" i="5"/>
  <c r="H10" i="5"/>
  <c r="G10" i="5"/>
  <c r="F10" i="5"/>
  <c r="E10" i="5"/>
  <c r="D10" i="5"/>
  <c r="C10" i="5"/>
  <c r="B10" i="5"/>
  <c r="M5" i="5"/>
  <c r="L5" i="5"/>
  <c r="K5" i="5"/>
  <c r="J5" i="5"/>
  <c r="I5" i="5"/>
  <c r="H5" i="5"/>
  <c r="G5" i="5"/>
  <c r="F5" i="5"/>
  <c r="E5" i="5"/>
  <c r="D5" i="5"/>
  <c r="C5" i="5"/>
  <c r="B5" i="5"/>
  <c r="N4" i="5"/>
  <c r="N3" i="5"/>
  <c r="U3" i="5" s="1"/>
  <c r="U21" i="9" l="1"/>
  <c r="U30" i="9"/>
  <c r="E17" i="8"/>
  <c r="E16" i="8"/>
  <c r="E18" i="8"/>
  <c r="E33" i="8" s="1"/>
  <c r="U4" i="5"/>
  <c r="D29" i="7"/>
  <c r="D33" i="7" s="1"/>
  <c r="E29" i="7" s="1"/>
  <c r="E33" i="7" s="1"/>
  <c r="F29" i="7" s="1"/>
  <c r="F33" i="7" s="1"/>
  <c r="G29" i="7" s="1"/>
  <c r="C25" i="9"/>
  <c r="D30" i="9"/>
  <c r="D5" i="10" s="1"/>
  <c r="D54" i="10" s="1"/>
  <c r="D25" i="9"/>
  <c r="E12" i="6"/>
  <c r="E4" i="11"/>
  <c r="F5" i="9"/>
  <c r="K9" i="12"/>
  <c r="I12" i="5"/>
  <c r="J7" i="12"/>
  <c r="O7" i="12" s="1"/>
  <c r="V7" i="12" s="1"/>
  <c r="C9" i="12"/>
  <c r="L9" i="12"/>
  <c r="M9" i="12"/>
  <c r="O8" i="12"/>
  <c r="V8" i="12" s="1"/>
  <c r="N9" i="12"/>
  <c r="V5" i="12"/>
  <c r="B24" i="9"/>
  <c r="B14" i="9"/>
  <c r="B56" i="10"/>
  <c r="C53" i="10" s="1"/>
  <c r="C56" i="10" s="1"/>
  <c r="D53" i="10" s="1"/>
  <c r="D56" i="10" s="1"/>
  <c r="E53" i="10" s="1"/>
  <c r="C54" i="10"/>
  <c r="Q5" i="10"/>
  <c r="Q3" i="10"/>
  <c r="U4" i="10"/>
  <c r="F12" i="5"/>
  <c r="C12" i="5"/>
  <c r="U4" i="6"/>
  <c r="G12" i="5"/>
  <c r="E12" i="5"/>
  <c r="K12" i="5"/>
  <c r="D12" i="5"/>
  <c r="H12" i="5"/>
  <c r="J12" i="5"/>
  <c r="M12" i="5"/>
  <c r="B12" i="5"/>
  <c r="F5" i="8"/>
  <c r="U3" i="6"/>
  <c r="G10" i="7"/>
  <c r="T5" i="6"/>
  <c r="N5" i="6"/>
  <c r="N5" i="5"/>
  <c r="L12" i="5"/>
  <c r="N10" i="5"/>
  <c r="N11" i="5"/>
  <c r="U11" i="5" s="1"/>
  <c r="F17" i="8" l="1"/>
  <c r="F16" i="8"/>
  <c r="F18" i="8"/>
  <c r="F33" i="8" s="1"/>
  <c r="D4" i="13"/>
  <c r="E31" i="8"/>
  <c r="D8" i="13"/>
  <c r="E32" i="8"/>
  <c r="D12" i="13" s="1"/>
  <c r="U5" i="5"/>
  <c r="O5" i="5"/>
  <c r="O3" i="5"/>
  <c r="O4" i="5"/>
  <c r="E25" i="9"/>
  <c r="E30" i="9"/>
  <c r="E5" i="10" s="1"/>
  <c r="G5" i="9"/>
  <c r="F4" i="11"/>
  <c r="U10" i="5"/>
  <c r="J9" i="12"/>
  <c r="O9" i="12" s="1"/>
  <c r="V9" i="12" s="1"/>
  <c r="C24" i="9"/>
  <c r="D24" i="9"/>
  <c r="D34" i="9" s="1"/>
  <c r="C17" i="11" s="1"/>
  <c r="E24" i="9"/>
  <c r="F24" i="9"/>
  <c r="U5" i="10"/>
  <c r="Q6" i="10"/>
  <c r="G5" i="8"/>
  <c r="F12" i="6"/>
  <c r="N12" i="5"/>
  <c r="U5" i="6"/>
  <c r="H10" i="7"/>
  <c r="G33" i="7"/>
  <c r="H29" i="7" s="1"/>
  <c r="H33" i="7" s="1"/>
  <c r="I29" i="7" s="1"/>
  <c r="E4" i="13" l="1"/>
  <c r="F31" i="8"/>
  <c r="G18" i="8"/>
  <c r="G33" i="8" s="1"/>
  <c r="G17" i="8"/>
  <c r="G16" i="8"/>
  <c r="F32" i="8"/>
  <c r="E12" i="13" s="1"/>
  <c r="E8" i="13"/>
  <c r="G24" i="9"/>
  <c r="G4" i="11"/>
  <c r="H5" i="9"/>
  <c r="E54" i="10"/>
  <c r="E34" i="9"/>
  <c r="D17" i="11" s="1"/>
  <c r="F30" i="9"/>
  <c r="F5" i="10" s="1"/>
  <c r="F54" i="10" s="1"/>
  <c r="F25" i="9"/>
  <c r="U12" i="5"/>
  <c r="O12" i="5"/>
  <c r="O11" i="5"/>
  <c r="O10" i="5"/>
  <c r="C34" i="9"/>
  <c r="H5" i="8"/>
  <c r="G12" i="6"/>
  <c r="I10" i="7"/>
  <c r="I33" i="7"/>
  <c r="H16" i="8" l="1"/>
  <c r="H18" i="8"/>
  <c r="H33" i="8" s="1"/>
  <c r="H17" i="8"/>
  <c r="F4" i="13"/>
  <c r="G31" i="8"/>
  <c r="F8" i="13"/>
  <c r="G32" i="8"/>
  <c r="J29" i="7"/>
  <c r="J33" i="7" s="1"/>
  <c r="K29" i="7" s="1"/>
  <c r="E56" i="10"/>
  <c r="F53" i="10" s="1"/>
  <c r="F56" i="10" s="1"/>
  <c r="G53" i="10" s="1"/>
  <c r="F34" i="9"/>
  <c r="E17" i="11" s="1"/>
  <c r="H24" i="9"/>
  <c r="G30" i="9"/>
  <c r="G5" i="10" s="1"/>
  <c r="G54" i="10" s="1"/>
  <c r="G25" i="9"/>
  <c r="G34" i="9"/>
  <c r="F17" i="11" s="1"/>
  <c r="I5" i="9"/>
  <c r="H4" i="11"/>
  <c r="B17" i="11"/>
  <c r="I5" i="8"/>
  <c r="H12" i="6"/>
  <c r="J10" i="7"/>
  <c r="F8" i="2"/>
  <c r="F10" i="2" s="1"/>
  <c r="F12" i="13" l="1"/>
  <c r="H32" i="8"/>
  <c r="G8" i="13"/>
  <c r="I16" i="8"/>
  <c r="I18" i="8"/>
  <c r="I33" i="8" s="1"/>
  <c r="I17" i="8"/>
  <c r="G4" i="13"/>
  <c r="H31" i="8"/>
  <c r="H30" i="9"/>
  <c r="H5" i="10" s="1"/>
  <c r="H54" i="10" s="1"/>
  <c r="H25" i="9"/>
  <c r="G56" i="10"/>
  <c r="H53" i="10" s="1"/>
  <c r="H56" i="10" s="1"/>
  <c r="I53" i="10" s="1"/>
  <c r="I24" i="9"/>
  <c r="I12" i="6"/>
  <c r="J5" i="9"/>
  <c r="I4" i="11"/>
  <c r="H34" i="9"/>
  <c r="G17" i="11" s="1"/>
  <c r="J5" i="8"/>
  <c r="K10" i="7"/>
  <c r="K33" i="7"/>
  <c r="L29" i="7" s="1"/>
  <c r="F13" i="2"/>
  <c r="F15" i="2" s="1"/>
  <c r="F16" i="2" s="1"/>
  <c r="G12" i="13" l="1"/>
  <c r="H4" i="13"/>
  <c r="I31" i="8"/>
  <c r="H8" i="13"/>
  <c r="I32" i="8"/>
  <c r="J24" i="9"/>
  <c r="I25" i="9"/>
  <c r="I34" i="9" s="1"/>
  <c r="I30" i="9"/>
  <c r="I5" i="10" s="1"/>
  <c r="K5" i="9"/>
  <c r="J4" i="11"/>
  <c r="K5" i="8"/>
  <c r="J12" i="6"/>
  <c r="L10" i="7"/>
  <c r="L33" i="7"/>
  <c r="M29" i="7" s="1"/>
  <c r="F17" i="2"/>
  <c r="K17" i="8" l="1"/>
  <c r="K18" i="8"/>
  <c r="K33" i="8" s="1"/>
  <c r="K16" i="8"/>
  <c r="H12" i="13"/>
  <c r="H17" i="11"/>
  <c r="J25" i="9"/>
  <c r="J34" i="9" s="1"/>
  <c r="I17" i="11" s="1"/>
  <c r="J30" i="9"/>
  <c r="J5" i="10" s="1"/>
  <c r="J54" i="10" s="1"/>
  <c r="K24" i="9"/>
  <c r="I54" i="10"/>
  <c r="L5" i="9"/>
  <c r="K4" i="11"/>
  <c r="L5" i="8"/>
  <c r="K12" i="6"/>
  <c r="N10" i="7"/>
  <c r="M10" i="7"/>
  <c r="M33" i="7"/>
  <c r="N29" i="7" s="1"/>
  <c r="O3" i="7"/>
  <c r="L17" i="8" l="1"/>
  <c r="L18" i="8"/>
  <c r="L33" i="8" s="1"/>
  <c r="L16" i="8"/>
  <c r="J4" i="13"/>
  <c r="K31" i="8"/>
  <c r="J8" i="13"/>
  <c r="K32" i="8"/>
  <c r="L4" i="11"/>
  <c r="M5" i="9"/>
  <c r="L24" i="9"/>
  <c r="I56" i="10"/>
  <c r="J53" i="10" s="1"/>
  <c r="J56" i="10" s="1"/>
  <c r="K53" i="10" s="1"/>
  <c r="K30" i="9"/>
  <c r="K5" i="10" s="1"/>
  <c r="K25" i="9"/>
  <c r="K34" i="9" s="1"/>
  <c r="M4" i="11"/>
  <c r="N4" i="11" s="1"/>
  <c r="N5" i="9"/>
  <c r="M12" i="6"/>
  <c r="N5" i="8"/>
  <c r="M5" i="8"/>
  <c r="L12" i="6"/>
  <c r="O5" i="8"/>
  <c r="O10" i="7"/>
  <c r="O31" i="7"/>
  <c r="C9" i="7"/>
  <c r="C26" i="7"/>
  <c r="O23" i="7"/>
  <c r="O30" i="7"/>
  <c r="J12" i="13" l="1"/>
  <c r="M18" i="8"/>
  <c r="M33" i="8" s="1"/>
  <c r="M16" i="8"/>
  <c r="M17" i="8"/>
  <c r="K4" i="13"/>
  <c r="L31" i="8"/>
  <c r="N17" i="8"/>
  <c r="N16" i="8"/>
  <c r="N18" i="8"/>
  <c r="N33" i="8" s="1"/>
  <c r="K8" i="13"/>
  <c r="L32" i="8"/>
  <c r="K12" i="13" s="1"/>
  <c r="U4" i="11"/>
  <c r="D22" i="7"/>
  <c r="D26" i="7" s="1"/>
  <c r="E22" i="7" s="1"/>
  <c r="J17" i="11"/>
  <c r="N25" i="9"/>
  <c r="O5" i="9"/>
  <c r="K54" i="10"/>
  <c r="B11" i="6"/>
  <c r="B3" i="11"/>
  <c r="C4" i="9"/>
  <c r="M24" i="9"/>
  <c r="K56" i="10"/>
  <c r="L53" i="10" s="1"/>
  <c r="L25" i="9"/>
  <c r="L34" i="9" s="1"/>
  <c r="K17" i="11" s="1"/>
  <c r="L30" i="9"/>
  <c r="L5" i="10" s="1"/>
  <c r="L54" i="10" s="1"/>
  <c r="N12" i="6"/>
  <c r="U12" i="6" s="1"/>
  <c r="O33" i="8"/>
  <c r="C11" i="7"/>
  <c r="C4" i="8"/>
  <c r="D9" i="7"/>
  <c r="N33" i="7"/>
  <c r="Q33" i="7" s="1"/>
  <c r="L4" i="13" l="1"/>
  <c r="M31" i="8"/>
  <c r="M4" i="13"/>
  <c r="N31" i="8"/>
  <c r="M8" i="13"/>
  <c r="N32" i="8"/>
  <c r="M12" i="13" s="1"/>
  <c r="L8" i="13"/>
  <c r="M32" i="8"/>
  <c r="L12" i="13" s="1"/>
  <c r="C12" i="8"/>
  <c r="C28" i="8" s="1"/>
  <c r="C11" i="8"/>
  <c r="O32" i="8"/>
  <c r="L56" i="10"/>
  <c r="M53" i="10" s="1"/>
  <c r="C11" i="6"/>
  <c r="C3" i="11"/>
  <c r="C5" i="11" s="1"/>
  <c r="D4" i="9"/>
  <c r="M25" i="9"/>
  <c r="M34" i="9" s="1"/>
  <c r="O21" i="9"/>
  <c r="M30" i="9"/>
  <c r="M5" i="10" s="1"/>
  <c r="M54" i="10" s="1"/>
  <c r="C6" i="9"/>
  <c r="B5" i="11"/>
  <c r="N24" i="9"/>
  <c r="N34" i="9" s="1"/>
  <c r="M17" i="11" s="1"/>
  <c r="O20" i="9"/>
  <c r="N30" i="9"/>
  <c r="N5" i="10" s="1"/>
  <c r="O24" i="9"/>
  <c r="O18" i="8"/>
  <c r="O16" i="8"/>
  <c r="O17" i="8"/>
  <c r="N8" i="13" s="1"/>
  <c r="B13" i="6"/>
  <c r="D11" i="7"/>
  <c r="D4" i="8"/>
  <c r="C6" i="8"/>
  <c r="E9" i="7"/>
  <c r="E26" i="7"/>
  <c r="M56" i="10" l="1"/>
  <c r="N53" i="10" s="1"/>
  <c r="N4" i="13"/>
  <c r="N12" i="13"/>
  <c r="O31" i="8"/>
  <c r="D12" i="8"/>
  <c r="D28" i="8" s="1"/>
  <c r="D11" i="8"/>
  <c r="D10" i="8"/>
  <c r="C26" i="8"/>
  <c r="B3" i="13"/>
  <c r="B7" i="13"/>
  <c r="B9" i="13" s="1"/>
  <c r="C27" i="8"/>
  <c r="F22" i="7"/>
  <c r="F26" i="7" s="1"/>
  <c r="G22" i="7" s="1"/>
  <c r="C35" i="8"/>
  <c r="L17" i="11"/>
  <c r="O34" i="9"/>
  <c r="D6" i="9"/>
  <c r="C28" i="9"/>
  <c r="C3" i="10" s="1"/>
  <c r="C14" i="9"/>
  <c r="C15" i="9"/>
  <c r="C29" i="9"/>
  <c r="C4" i="10" s="1"/>
  <c r="N54" i="10"/>
  <c r="O54" i="10" s="1"/>
  <c r="O5" i="10"/>
  <c r="O25" i="9"/>
  <c r="D11" i="6"/>
  <c r="E4" i="9"/>
  <c r="D3" i="11"/>
  <c r="C22" i="8"/>
  <c r="C13" i="7" s="1"/>
  <c r="C13" i="6"/>
  <c r="D6" i="8"/>
  <c r="E11" i="7"/>
  <c r="E4" i="8"/>
  <c r="F9" i="7"/>
  <c r="E10" i="8" l="1"/>
  <c r="E11" i="8"/>
  <c r="E12" i="8"/>
  <c r="E28" i="8" s="1"/>
  <c r="B5" i="13"/>
  <c r="C7" i="13"/>
  <c r="C9" i="13" s="1"/>
  <c r="D27" i="8"/>
  <c r="B11" i="13"/>
  <c r="C3" i="13"/>
  <c r="C5" i="13" s="1"/>
  <c r="D26" i="8"/>
  <c r="C11" i="13" s="1"/>
  <c r="C13" i="13" s="1"/>
  <c r="E11" i="6"/>
  <c r="F4" i="9"/>
  <c r="E3" i="11"/>
  <c r="E5" i="11" s="1"/>
  <c r="C33" i="9"/>
  <c r="C13" i="10"/>
  <c r="C6" i="10"/>
  <c r="C34" i="10"/>
  <c r="D28" i="9"/>
  <c r="D3" i="10" s="1"/>
  <c r="B15" i="10" s="1"/>
  <c r="C12" i="10" s="1"/>
  <c r="D14" i="9"/>
  <c r="D29" i="9"/>
  <c r="D4" i="10" s="1"/>
  <c r="D34" i="10" s="1"/>
  <c r="D15" i="9"/>
  <c r="D5" i="11"/>
  <c r="E6" i="9"/>
  <c r="N17" i="11"/>
  <c r="Q34" i="9"/>
  <c r="N56" i="10"/>
  <c r="D35" i="8"/>
  <c r="D13" i="6"/>
  <c r="D22" i="8"/>
  <c r="D13" i="7" s="1"/>
  <c r="F11" i="7"/>
  <c r="F4" i="8"/>
  <c r="E6" i="8"/>
  <c r="G9" i="7"/>
  <c r="G26" i="7"/>
  <c r="C15" i="10" l="1"/>
  <c r="D12" i="10" s="1"/>
  <c r="F12" i="8"/>
  <c r="F28" i="8" s="1"/>
  <c r="F10" i="8"/>
  <c r="F11" i="8"/>
  <c r="B13" i="13"/>
  <c r="D7" i="13"/>
  <c r="D9" i="13" s="1"/>
  <c r="E27" i="8"/>
  <c r="D3" i="13"/>
  <c r="D5" i="13" s="1"/>
  <c r="E26" i="8"/>
  <c r="D11" i="13" s="1"/>
  <c r="D13" i="13" s="1"/>
  <c r="H22" i="7"/>
  <c r="H26" i="7" s="1"/>
  <c r="I22" i="7" s="1"/>
  <c r="B9" i="11"/>
  <c r="F11" i="6"/>
  <c r="G4" i="9"/>
  <c r="F3" i="11"/>
  <c r="D33" i="9"/>
  <c r="C9" i="11" s="1"/>
  <c r="F6" i="9"/>
  <c r="E28" i="9"/>
  <c r="E3" i="10" s="1"/>
  <c r="E14" i="9"/>
  <c r="E29" i="9"/>
  <c r="E4" i="10" s="1"/>
  <c r="E15" i="9"/>
  <c r="D13" i="10"/>
  <c r="D6" i="10"/>
  <c r="E22" i="8"/>
  <c r="E13" i="7" s="1"/>
  <c r="E13" i="6"/>
  <c r="F6" i="8"/>
  <c r="G11" i="7"/>
  <c r="G4" i="8"/>
  <c r="H9" i="7"/>
  <c r="D15" i="10" l="1"/>
  <c r="E12" i="10" s="1"/>
  <c r="G12" i="8"/>
  <c r="G28" i="8" s="1"/>
  <c r="G11" i="8"/>
  <c r="G10" i="8"/>
  <c r="E35" i="8"/>
  <c r="E3" i="13"/>
  <c r="E5" i="13" s="1"/>
  <c r="F26" i="8"/>
  <c r="E7" i="13"/>
  <c r="E9" i="13" s="1"/>
  <c r="F27" i="8"/>
  <c r="F35" i="8" s="1"/>
  <c r="F15" i="9"/>
  <c r="F29" i="9"/>
  <c r="F4" i="10" s="1"/>
  <c r="F34" i="10" s="1"/>
  <c r="F5" i="11"/>
  <c r="G3" i="11"/>
  <c r="G5" i="11" s="1"/>
  <c r="H4" i="9"/>
  <c r="F28" i="9"/>
  <c r="F3" i="10" s="1"/>
  <c r="F14" i="9"/>
  <c r="F33" i="9" s="1"/>
  <c r="E9" i="11" s="1"/>
  <c r="E33" i="9"/>
  <c r="D9" i="11" s="1"/>
  <c r="G6" i="9"/>
  <c r="E34" i="10"/>
  <c r="B36" i="10"/>
  <c r="C33" i="10" s="1"/>
  <c r="C36" i="10" s="1"/>
  <c r="D33" i="10" s="1"/>
  <c r="D36" i="10" s="1"/>
  <c r="E33" i="10" s="1"/>
  <c r="E36" i="10" s="1"/>
  <c r="F33" i="10" s="1"/>
  <c r="E13" i="10"/>
  <c r="E15" i="10" s="1"/>
  <c r="F12" i="10" s="1"/>
  <c r="E6" i="10"/>
  <c r="H4" i="8"/>
  <c r="G11" i="6"/>
  <c r="F22" i="8"/>
  <c r="F13" i="7" s="1"/>
  <c r="F13" i="6"/>
  <c r="G6" i="8"/>
  <c r="H11" i="7"/>
  <c r="I9" i="7"/>
  <c r="I26" i="7"/>
  <c r="J22" i="7" s="1"/>
  <c r="J26" i="7" s="1"/>
  <c r="K22" i="7" s="1"/>
  <c r="F36" i="10" l="1"/>
  <c r="G33" i="10" s="1"/>
  <c r="H6" i="8"/>
  <c r="H10" i="8"/>
  <c r="H11" i="8"/>
  <c r="H12" i="8"/>
  <c r="H28" i="8" s="1"/>
  <c r="E11" i="13"/>
  <c r="F3" i="13"/>
  <c r="G26" i="8"/>
  <c r="F7" i="13"/>
  <c r="F9" i="13" s="1"/>
  <c r="G27" i="8"/>
  <c r="H6" i="9"/>
  <c r="F13" i="10"/>
  <c r="F15" i="10" s="1"/>
  <c r="G12" i="10" s="1"/>
  <c r="F6" i="10"/>
  <c r="H11" i="6"/>
  <c r="H3" i="11"/>
  <c r="H5" i="11" s="1"/>
  <c r="I4" i="9"/>
  <c r="G28" i="9"/>
  <c r="G3" i="10" s="1"/>
  <c r="G14" i="9"/>
  <c r="G15" i="9"/>
  <c r="G29" i="9"/>
  <c r="G4" i="10" s="1"/>
  <c r="G22" i="8"/>
  <c r="G13" i="7" s="1"/>
  <c r="G13" i="6"/>
  <c r="I11" i="7"/>
  <c r="I4" i="8"/>
  <c r="J9" i="7"/>
  <c r="I12" i="8" l="1"/>
  <c r="I28" i="8" s="1"/>
  <c r="I11" i="8"/>
  <c r="I10" i="8"/>
  <c r="F11" i="13"/>
  <c r="F13" i="13" s="1"/>
  <c r="F5" i="13"/>
  <c r="E13" i="13"/>
  <c r="G35" i="8"/>
  <c r="G7" i="13"/>
  <c r="G9" i="13" s="1"/>
  <c r="H27" i="8"/>
  <c r="G3" i="13"/>
  <c r="G5" i="13" s="1"/>
  <c r="H26" i="8"/>
  <c r="G11" i="13" s="1"/>
  <c r="G13" i="13" s="1"/>
  <c r="G13" i="10"/>
  <c r="G15" i="10" s="1"/>
  <c r="H12" i="10" s="1"/>
  <c r="G6" i="10"/>
  <c r="I3" i="11"/>
  <c r="I5" i="11" s="1"/>
  <c r="J4" i="9"/>
  <c r="I6" i="9"/>
  <c r="H28" i="9"/>
  <c r="H3" i="10" s="1"/>
  <c r="H14" i="9"/>
  <c r="G34" i="10"/>
  <c r="H15" i="9"/>
  <c r="H29" i="9"/>
  <c r="H4" i="10" s="1"/>
  <c r="H34" i="10" s="1"/>
  <c r="G33" i="9"/>
  <c r="H22" i="8"/>
  <c r="H13" i="7" s="1"/>
  <c r="J11" i="7"/>
  <c r="I13" i="6" s="1"/>
  <c r="J4" i="8"/>
  <c r="I11" i="6"/>
  <c r="H35" i="8"/>
  <c r="H13" i="6"/>
  <c r="I6" i="8"/>
  <c r="K9" i="7"/>
  <c r="K26" i="7"/>
  <c r="L22" i="7" s="1"/>
  <c r="L26" i="7" s="1"/>
  <c r="M22" i="7" s="1"/>
  <c r="H3" i="13" l="1"/>
  <c r="H5" i="13" s="1"/>
  <c r="I26" i="8"/>
  <c r="H7" i="13"/>
  <c r="H9" i="13" s="1"/>
  <c r="I27" i="8"/>
  <c r="H11" i="13" s="1"/>
  <c r="H13" i="13" s="1"/>
  <c r="H13" i="10"/>
  <c r="H15" i="10" s="1"/>
  <c r="I12" i="10" s="1"/>
  <c r="H6" i="10"/>
  <c r="I15" i="9"/>
  <c r="I29" i="9"/>
  <c r="I4" i="10" s="1"/>
  <c r="I34" i="10" s="1"/>
  <c r="I28" i="9"/>
  <c r="I3" i="10" s="1"/>
  <c r="I14" i="9"/>
  <c r="H33" i="9"/>
  <c r="G9" i="11" s="1"/>
  <c r="J11" i="6"/>
  <c r="K4" i="9"/>
  <c r="J3" i="11"/>
  <c r="J5" i="11" s="1"/>
  <c r="G36" i="10"/>
  <c r="H33" i="10" s="1"/>
  <c r="H36" i="10" s="1"/>
  <c r="J6" i="9"/>
  <c r="F9" i="11"/>
  <c r="J6" i="8"/>
  <c r="I22" i="8"/>
  <c r="I13" i="7" s="1"/>
  <c r="K11" i="7"/>
  <c r="K4" i="8"/>
  <c r="L9" i="7"/>
  <c r="M26" i="7"/>
  <c r="N22" i="7" s="1"/>
  <c r="I33" i="10" l="1"/>
  <c r="I36" i="10" s="1"/>
  <c r="J33" i="10" s="1"/>
  <c r="I33" i="9"/>
  <c r="H9" i="11" s="1"/>
  <c r="I35" i="8"/>
  <c r="K10" i="8"/>
  <c r="K12" i="8"/>
  <c r="K28" i="8" s="1"/>
  <c r="K11" i="8"/>
  <c r="K11" i="6"/>
  <c r="L4" i="9"/>
  <c r="K3" i="11"/>
  <c r="K5" i="11" s="1"/>
  <c r="I13" i="10"/>
  <c r="I15" i="10" s="1"/>
  <c r="J12" i="10" s="1"/>
  <c r="I6" i="10"/>
  <c r="J15" i="9"/>
  <c r="J29" i="9"/>
  <c r="J4" i="10" s="1"/>
  <c r="J28" i="9"/>
  <c r="J3" i="10" s="1"/>
  <c r="J14" i="9"/>
  <c r="K6" i="9"/>
  <c r="J22" i="8"/>
  <c r="J13" i="7" s="1"/>
  <c r="J13" i="6"/>
  <c r="L11" i="7"/>
  <c r="L4" i="8"/>
  <c r="K6" i="8"/>
  <c r="M9" i="7"/>
  <c r="J33" i="9" l="1"/>
  <c r="I9" i="11" s="1"/>
  <c r="J7" i="13"/>
  <c r="J9" i="13" s="1"/>
  <c r="K27" i="8"/>
  <c r="L10" i="8"/>
  <c r="L11" i="8"/>
  <c r="L12" i="8"/>
  <c r="L28" i="8" s="1"/>
  <c r="J3" i="13"/>
  <c r="J5" i="13" s="1"/>
  <c r="K26" i="8"/>
  <c r="K35" i="8" s="1"/>
  <c r="K28" i="9"/>
  <c r="K3" i="10" s="1"/>
  <c r="K14" i="9"/>
  <c r="L6" i="9"/>
  <c r="L11" i="6"/>
  <c r="M4" i="9"/>
  <c r="L3" i="11"/>
  <c r="L5" i="11" s="1"/>
  <c r="J13" i="10"/>
  <c r="J15" i="10" s="1"/>
  <c r="K12" i="10" s="1"/>
  <c r="J6" i="10"/>
  <c r="K15" i="9"/>
  <c r="K29" i="9"/>
  <c r="K4" i="10" s="1"/>
  <c r="K34" i="10" s="1"/>
  <c r="J34" i="10"/>
  <c r="J35" i="8"/>
  <c r="K22" i="8"/>
  <c r="K13" i="7" s="1"/>
  <c r="K13" i="6"/>
  <c r="L6" i="8"/>
  <c r="M11" i="7"/>
  <c r="M4" i="8"/>
  <c r="N9" i="7"/>
  <c r="O24" i="7"/>
  <c r="N26" i="7"/>
  <c r="Q26" i="7" s="1"/>
  <c r="M10" i="8" l="1"/>
  <c r="M11" i="8"/>
  <c r="M12" i="8"/>
  <c r="M28" i="8" s="1"/>
  <c r="J11" i="13"/>
  <c r="K7" i="13"/>
  <c r="K9" i="13" s="1"/>
  <c r="L27" i="8"/>
  <c r="K3" i="13"/>
  <c r="K5" i="13" s="1"/>
  <c r="L26" i="8"/>
  <c r="L35" i="8" s="1"/>
  <c r="J36" i="10"/>
  <c r="K33" i="10" s="1"/>
  <c r="K36" i="10" s="1"/>
  <c r="L33" i="10" s="1"/>
  <c r="M11" i="6"/>
  <c r="N11" i="6" s="1"/>
  <c r="U11" i="6" s="1"/>
  <c r="M3" i="11"/>
  <c r="N4" i="9"/>
  <c r="K33" i="9"/>
  <c r="J9" i="11" s="1"/>
  <c r="K13" i="10"/>
  <c r="K15" i="10" s="1"/>
  <c r="L12" i="10" s="1"/>
  <c r="K6" i="10"/>
  <c r="M6" i="9"/>
  <c r="L28" i="9"/>
  <c r="L3" i="10" s="1"/>
  <c r="L14" i="9"/>
  <c r="L15" i="9"/>
  <c r="L29" i="9"/>
  <c r="L4" i="10" s="1"/>
  <c r="L34" i="10" s="1"/>
  <c r="L22" i="8"/>
  <c r="L13" i="7" s="1"/>
  <c r="L13" i="6"/>
  <c r="N11" i="7"/>
  <c r="N4" i="8"/>
  <c r="O9" i="7"/>
  <c r="O11" i="7" s="1"/>
  <c r="M6" i="8"/>
  <c r="O4" i="8"/>
  <c r="O6" i="8" s="1"/>
  <c r="K11" i="13" l="1"/>
  <c r="K13" i="13" s="1"/>
  <c r="N12" i="8"/>
  <c r="N28" i="8" s="1"/>
  <c r="N11" i="8"/>
  <c r="N10" i="8"/>
  <c r="J13" i="13"/>
  <c r="L7" i="13"/>
  <c r="L9" i="13" s="1"/>
  <c r="M27" i="8"/>
  <c r="L3" i="13"/>
  <c r="L5" i="13" s="1"/>
  <c r="M26" i="8"/>
  <c r="L33" i="9"/>
  <c r="K9" i="11" s="1"/>
  <c r="M28" i="9"/>
  <c r="M3" i="10" s="1"/>
  <c r="M14" i="9"/>
  <c r="L13" i="10"/>
  <c r="L6" i="10"/>
  <c r="M5" i="11"/>
  <c r="N5" i="11" s="1"/>
  <c r="U5" i="11" s="1"/>
  <c r="N3" i="11"/>
  <c r="L36" i="10"/>
  <c r="M33" i="10" s="1"/>
  <c r="M29" i="9"/>
  <c r="M4" i="10" s="1"/>
  <c r="M34" i="10" s="1"/>
  <c r="M15" i="9"/>
  <c r="N6" i="9"/>
  <c r="O4" i="9"/>
  <c r="O6" i="9" s="1"/>
  <c r="M22" i="8"/>
  <c r="M13" i="7" s="1"/>
  <c r="M13" i="6"/>
  <c r="N13" i="6" s="1"/>
  <c r="U13" i="6" s="1"/>
  <c r="N6" i="8"/>
  <c r="L11" i="13" l="1"/>
  <c r="L13" i="13" s="1"/>
  <c r="M3" i="13"/>
  <c r="N26" i="8"/>
  <c r="M7" i="13"/>
  <c r="M9" i="13" s="1"/>
  <c r="N27" i="8"/>
  <c r="M11" i="13" s="1"/>
  <c r="U3" i="11"/>
  <c r="N28" i="9"/>
  <c r="N3" i="10" s="1"/>
  <c r="N14" i="9"/>
  <c r="O10" i="9"/>
  <c r="M36" i="10"/>
  <c r="N33" i="10" s="1"/>
  <c r="M33" i="9"/>
  <c r="L9" i="11" s="1"/>
  <c r="M13" i="10"/>
  <c r="M6" i="10"/>
  <c r="N29" i="9"/>
  <c r="N4" i="10" s="1"/>
  <c r="N15" i="9"/>
  <c r="O15" i="9" s="1"/>
  <c r="O11" i="9"/>
  <c r="L15" i="10"/>
  <c r="M12" i="10" s="1"/>
  <c r="O12" i="8"/>
  <c r="O28" i="8"/>
  <c r="O11" i="8"/>
  <c r="N7" i="13" s="1"/>
  <c r="N9" i="13" s="1"/>
  <c r="O10" i="8"/>
  <c r="M35" i="8"/>
  <c r="N22" i="8"/>
  <c r="N13" i="7" s="1"/>
  <c r="M15" i="10" l="1"/>
  <c r="N12" i="10" s="1"/>
  <c r="M13" i="13"/>
  <c r="N13" i="13" s="1"/>
  <c r="N11" i="13"/>
  <c r="M5" i="13"/>
  <c r="N5" i="13" s="1"/>
  <c r="N3" i="13"/>
  <c r="N34" i="10"/>
  <c r="O34" i="10" s="1"/>
  <c r="O4" i="10"/>
  <c r="N36" i="10"/>
  <c r="N33" i="9"/>
  <c r="O14" i="9"/>
  <c r="N6" i="10"/>
  <c r="O6" i="10" s="1"/>
  <c r="N13" i="10"/>
  <c r="O13" i="10" s="1"/>
  <c r="O3" i="10"/>
  <c r="N35" i="8"/>
  <c r="O35" i="8" s="1"/>
  <c r="F19" i="2" s="1"/>
  <c r="F20" i="2" s="1"/>
  <c r="O26" i="8"/>
  <c r="O27" i="8"/>
  <c r="D25" i="2" l="1"/>
  <c r="F25" i="2" s="1"/>
  <c r="D24" i="2"/>
  <c r="D23" i="2"/>
  <c r="F23" i="2" s="1"/>
  <c r="N15" i="10"/>
  <c r="M9" i="11"/>
  <c r="O33" i="9"/>
  <c r="N9" i="11" l="1"/>
  <c r="Q33" i="9"/>
  <c r="D26" i="2"/>
  <c r="F24" i="2"/>
  <c r="F26" i="2" s="1"/>
  <c r="F28" i="2" s="1"/>
  <c r="J38" i="8" l="1"/>
  <c r="C38" i="8"/>
  <c r="N39" i="8"/>
  <c r="I38" i="8"/>
  <c r="G39" i="8"/>
  <c r="D39" i="8"/>
  <c r="M39" i="8"/>
  <c r="H38" i="8"/>
  <c r="L39" i="8"/>
  <c r="G38" i="8"/>
  <c r="M38" i="8"/>
  <c r="K38" i="8"/>
  <c r="K39" i="8"/>
  <c r="F38" i="8"/>
  <c r="E39" i="8"/>
  <c r="N38" i="8"/>
  <c r="L38" i="8"/>
  <c r="J39" i="8"/>
  <c r="E38" i="8"/>
  <c r="C39" i="8"/>
  <c r="I39" i="8"/>
  <c r="D38" i="8"/>
  <c r="H39" i="8"/>
  <c r="F39" i="8"/>
  <c r="J16" i="11" l="1"/>
  <c r="J18" i="11" s="1"/>
  <c r="G8" i="11"/>
  <c r="G10" i="11" s="1"/>
  <c r="D16" i="11"/>
  <c r="D18" i="11" s="1"/>
  <c r="J8" i="11"/>
  <c r="J10" i="11" s="1"/>
  <c r="F8" i="11"/>
  <c r="F10" i="11" s="1"/>
  <c r="K16" i="11"/>
  <c r="K18" i="11" s="1"/>
  <c r="G16" i="11"/>
  <c r="G18" i="11" s="1"/>
  <c r="C8" i="11"/>
  <c r="C10" i="11" s="1"/>
  <c r="F16" i="11"/>
  <c r="F18" i="11" s="1"/>
  <c r="H8" i="11"/>
  <c r="H10" i="11" s="1"/>
  <c r="M16" i="11"/>
  <c r="M18" i="11" s="1"/>
  <c r="B8" i="11"/>
  <c r="B10" i="11" s="1"/>
  <c r="M8" i="11"/>
  <c r="M10" i="11" s="1"/>
  <c r="E8" i="11"/>
  <c r="E10" i="11" s="1"/>
  <c r="L8" i="11"/>
  <c r="L10" i="11" s="1"/>
  <c r="E16" i="11"/>
  <c r="E18" i="11" s="1"/>
  <c r="L16" i="11"/>
  <c r="L18" i="11" s="1"/>
  <c r="C16" i="11"/>
  <c r="C18" i="11" s="1"/>
  <c r="H16" i="11"/>
  <c r="H18" i="11" s="1"/>
  <c r="B16" i="11"/>
  <c r="B18" i="11" s="1"/>
  <c r="D8" i="11"/>
  <c r="D10" i="11" s="1"/>
  <c r="I16" i="11"/>
  <c r="I18" i="11" s="1"/>
  <c r="K8" i="11"/>
  <c r="K10" i="11" s="1"/>
  <c r="I8" i="11"/>
  <c r="I10" i="11" s="1"/>
  <c r="O38" i="8"/>
  <c r="O39" i="8"/>
  <c r="L15" i="13" l="1"/>
  <c r="B16" i="13"/>
  <c r="E16" i="13"/>
  <c r="B15" i="13"/>
  <c r="C15" i="13"/>
  <c r="D16" i="13"/>
  <c r="E15" i="13"/>
  <c r="M16" i="13"/>
  <c r="I15" i="13"/>
  <c r="K15" i="13"/>
  <c r="I16" i="13"/>
  <c r="D15" i="13"/>
  <c r="J15" i="13"/>
  <c r="C16" i="13"/>
  <c r="G15" i="13"/>
  <c r="M15" i="13"/>
  <c r="H15" i="13"/>
  <c r="F16" i="13"/>
  <c r="G16" i="13"/>
  <c r="K16" i="13"/>
  <c r="F15" i="13"/>
  <c r="H16" i="13"/>
  <c r="L16" i="13"/>
  <c r="J16" i="13"/>
  <c r="N16" i="11"/>
  <c r="N18" i="11" s="1"/>
  <c r="N19" i="11" s="1"/>
  <c r="B12" i="12" s="1"/>
  <c r="N8" i="11"/>
  <c r="N10" i="11" s="1"/>
  <c r="N11" i="11" s="1"/>
  <c r="B11" i="12" s="1"/>
  <c r="J12" i="12" l="1"/>
  <c r="M12" i="12"/>
  <c r="K12" i="12"/>
  <c r="N12" i="12"/>
  <c r="C12" i="12"/>
  <c r="F12" i="12"/>
  <c r="H12" i="12"/>
  <c r="D12" i="12"/>
  <c r="E12" i="12"/>
  <c r="L12" i="12"/>
  <c r="L16" i="12" s="1"/>
  <c r="G12" i="12"/>
  <c r="G16" i="12" s="1"/>
  <c r="I12" i="12"/>
  <c r="I16" i="12" s="1"/>
  <c r="F17" i="13"/>
  <c r="G17" i="13"/>
  <c r="G11" i="12"/>
  <c r="M11" i="12"/>
  <c r="J11" i="12"/>
  <c r="F11" i="12"/>
  <c r="H11" i="12"/>
  <c r="D11" i="12"/>
  <c r="K11" i="12"/>
  <c r="L11" i="12"/>
  <c r="C11" i="12"/>
  <c r="N11" i="12"/>
  <c r="I11" i="12"/>
  <c r="E11" i="12"/>
  <c r="N16" i="13"/>
  <c r="N15" i="13"/>
  <c r="E17" i="13"/>
  <c r="M17" i="13"/>
  <c r="C17" i="13"/>
  <c r="J17" i="13"/>
  <c r="K17" i="13"/>
  <c r="D17" i="13"/>
  <c r="B17" i="13"/>
  <c r="H17" i="13"/>
  <c r="I17" i="13"/>
  <c r="L17" i="13"/>
  <c r="N16" i="12"/>
  <c r="K16" i="12"/>
  <c r="F16" i="12"/>
  <c r="J16" i="12"/>
  <c r="M16" i="12"/>
  <c r="H16" i="12"/>
  <c r="D16" i="12"/>
  <c r="E16" i="12"/>
  <c r="N17" i="13" l="1"/>
  <c r="M34" i="13" s="1"/>
  <c r="K13" i="12"/>
  <c r="K15" i="12"/>
  <c r="K17" i="12" s="1"/>
  <c r="J13" i="12"/>
  <c r="J15" i="12"/>
  <c r="J17" i="12" s="1"/>
  <c r="G15" i="12"/>
  <c r="G17" i="12" s="1"/>
  <c r="G13" i="12"/>
  <c r="N13" i="12"/>
  <c r="N15" i="12"/>
  <c r="N17" i="12" s="1"/>
  <c r="L13" i="12"/>
  <c r="L15" i="12"/>
  <c r="L17" i="12" s="1"/>
  <c r="H13" i="12"/>
  <c r="H15" i="12"/>
  <c r="H17" i="12" s="1"/>
  <c r="C13" i="12"/>
  <c r="C15" i="12"/>
  <c r="O11" i="12"/>
  <c r="M13" i="12"/>
  <c r="M15" i="12"/>
  <c r="M17" i="12" s="1"/>
  <c r="I13" i="12"/>
  <c r="I15" i="12"/>
  <c r="I17" i="12" s="1"/>
  <c r="O12" i="12"/>
  <c r="C16" i="12"/>
  <c r="O16" i="12" s="1"/>
  <c r="E13" i="12"/>
  <c r="E15" i="12"/>
  <c r="E17" i="12" s="1"/>
  <c r="F15" i="12"/>
  <c r="F17" i="12" s="1"/>
  <c r="F13" i="12"/>
  <c r="D15" i="12"/>
  <c r="D17" i="12" s="1"/>
  <c r="D13" i="12"/>
  <c r="H34" i="13" l="1"/>
  <c r="I34" i="13"/>
  <c r="J34" i="13"/>
  <c r="K34" i="13"/>
  <c r="B34" i="13"/>
  <c r="G34" i="13"/>
  <c r="L34" i="13"/>
  <c r="E34" i="13"/>
  <c r="F34" i="13"/>
  <c r="D33" i="13"/>
  <c r="D37" i="13" s="1"/>
  <c r="D20" i="11" s="1"/>
  <c r="D21" i="11" s="1"/>
  <c r="B33" i="13"/>
  <c r="I33" i="13"/>
  <c r="I37" i="13" s="1"/>
  <c r="I20" i="11" s="1"/>
  <c r="I21" i="11" s="1"/>
  <c r="F33" i="13"/>
  <c r="F37" i="13" s="1"/>
  <c r="F20" i="11" s="1"/>
  <c r="F21" i="11" s="1"/>
  <c r="C33" i="13"/>
  <c r="C37" i="13" s="1"/>
  <c r="C20" i="11" s="1"/>
  <c r="C21" i="11" s="1"/>
  <c r="G33" i="13"/>
  <c r="G37" i="13" s="1"/>
  <c r="G20" i="11" s="1"/>
  <c r="G21" i="11" s="1"/>
  <c r="M33" i="13"/>
  <c r="M37" i="13" s="1"/>
  <c r="M20" i="11" s="1"/>
  <c r="M21" i="11" s="1"/>
  <c r="K33" i="13"/>
  <c r="K37" i="13" s="1"/>
  <c r="K20" i="11" s="1"/>
  <c r="K21" i="11" s="1"/>
  <c r="E33" i="13"/>
  <c r="E37" i="13" s="1"/>
  <c r="E20" i="11" s="1"/>
  <c r="E21" i="11" s="1"/>
  <c r="L33" i="13"/>
  <c r="L37" i="13" s="1"/>
  <c r="L20" i="11" s="1"/>
  <c r="L21" i="11" s="1"/>
  <c r="H33" i="13"/>
  <c r="H37" i="13" s="1"/>
  <c r="H20" i="11" s="1"/>
  <c r="H21" i="11" s="1"/>
  <c r="J33" i="13"/>
  <c r="J37" i="13" s="1"/>
  <c r="J20" i="11" s="1"/>
  <c r="J21" i="11" s="1"/>
  <c r="M32" i="13"/>
  <c r="M36" i="13" s="1"/>
  <c r="M12" i="11" s="1"/>
  <c r="M13" i="11" s="1"/>
  <c r="I32" i="13"/>
  <c r="I36" i="13" s="1"/>
  <c r="I12" i="11" s="1"/>
  <c r="I13" i="11" s="1"/>
  <c r="G32" i="13"/>
  <c r="G36" i="13" s="1"/>
  <c r="G12" i="11" s="1"/>
  <c r="G13" i="11" s="1"/>
  <c r="B32" i="13"/>
  <c r="E32" i="13"/>
  <c r="E36" i="13" s="1"/>
  <c r="E12" i="11" s="1"/>
  <c r="E13" i="11" s="1"/>
  <c r="F32" i="13"/>
  <c r="F36" i="13" s="1"/>
  <c r="F12" i="11" s="1"/>
  <c r="F13" i="11" s="1"/>
  <c r="H32" i="13"/>
  <c r="H36" i="13" s="1"/>
  <c r="H12" i="11" s="1"/>
  <c r="H13" i="11" s="1"/>
  <c r="C32" i="13"/>
  <c r="C36" i="13" s="1"/>
  <c r="C12" i="11" s="1"/>
  <c r="C13" i="11" s="1"/>
  <c r="L32" i="13"/>
  <c r="L36" i="13" s="1"/>
  <c r="L12" i="11" s="1"/>
  <c r="L13" i="11" s="1"/>
  <c r="J32" i="13"/>
  <c r="J36" i="13" s="1"/>
  <c r="J12" i="11" s="1"/>
  <c r="J13" i="11" s="1"/>
  <c r="K32" i="13"/>
  <c r="K36" i="13" s="1"/>
  <c r="K12" i="11" s="1"/>
  <c r="K13" i="11" s="1"/>
  <c r="D32" i="13"/>
  <c r="D36" i="13" s="1"/>
  <c r="D12" i="11" s="1"/>
  <c r="D13" i="11" s="1"/>
  <c r="C34" i="13"/>
  <c r="D34" i="13"/>
  <c r="O13" i="12"/>
  <c r="C17" i="12"/>
  <c r="O17" i="12" s="1"/>
  <c r="O15" i="12"/>
  <c r="R10" i="9"/>
  <c r="U10" i="9"/>
  <c r="U6" i="9"/>
  <c r="R20" i="9"/>
  <c r="U20" i="9" s="1"/>
  <c r="U4" i="9"/>
  <c r="B37" i="13" l="1"/>
  <c r="B20" i="11" s="1"/>
  <c r="N33" i="13"/>
  <c r="B36" i="13"/>
  <c r="B12" i="11" s="1"/>
  <c r="N32" i="13"/>
  <c r="R28" i="9"/>
  <c r="R3" i="10"/>
  <c r="U28" i="9"/>
  <c r="N12" i="11" l="1"/>
  <c r="B13" i="11"/>
  <c r="N13" i="11" s="1"/>
  <c r="N14" i="11" s="1"/>
  <c r="B19" i="12" s="1"/>
  <c r="N20" i="11"/>
  <c r="B21" i="11"/>
  <c r="N21" i="11" s="1"/>
  <c r="N22" i="11" s="1"/>
  <c r="B20" i="12" s="1"/>
  <c r="R6" i="10"/>
  <c r="U6" i="10" s="1"/>
  <c r="U3" i="10"/>
  <c r="D20" i="12" l="1"/>
  <c r="G20" i="12"/>
  <c r="L20" i="12"/>
  <c r="K20" i="12"/>
  <c r="H20" i="12"/>
  <c r="J20" i="12"/>
  <c r="F20" i="12"/>
  <c r="M20" i="12"/>
  <c r="E20" i="12"/>
  <c r="N20" i="12"/>
  <c r="I20" i="12"/>
  <c r="C20" i="12"/>
  <c r="E19" i="12"/>
  <c r="D19" i="12"/>
  <c r="M19" i="12"/>
  <c r="F19" i="12"/>
  <c r="C19" i="12"/>
  <c r="L19" i="12"/>
  <c r="J19" i="12"/>
  <c r="G19" i="12"/>
  <c r="N19" i="12"/>
  <c r="K19" i="12"/>
  <c r="H19" i="12"/>
  <c r="I19" i="12"/>
  <c r="D27" i="12" l="1"/>
  <c r="D21" i="12"/>
  <c r="D23" i="12"/>
  <c r="F27" i="12"/>
  <c r="F23" i="12"/>
  <c r="F21" i="12"/>
  <c r="E27" i="12"/>
  <c r="E21" i="12"/>
  <c r="E23" i="12"/>
  <c r="I24" i="12"/>
  <c r="I31" i="12" s="1"/>
  <c r="I28" i="12"/>
  <c r="E24" i="12"/>
  <c r="E31" i="12" s="1"/>
  <c r="E28" i="12"/>
  <c r="M24" i="12"/>
  <c r="M31" i="12" s="1"/>
  <c r="M28" i="12"/>
  <c r="F24" i="12"/>
  <c r="F31" i="12" s="1"/>
  <c r="F28" i="12"/>
  <c r="H24" i="12"/>
  <c r="H31" i="12" s="1"/>
  <c r="H28" i="12"/>
  <c r="M27" i="12"/>
  <c r="M23" i="12"/>
  <c r="M21" i="12"/>
  <c r="C24" i="12"/>
  <c r="C28" i="12"/>
  <c r="O20" i="12"/>
  <c r="O28" i="12" s="1"/>
  <c r="N24" i="12"/>
  <c r="N31" i="12" s="1"/>
  <c r="N28" i="12"/>
  <c r="I27" i="12"/>
  <c r="I23" i="12"/>
  <c r="I21" i="12"/>
  <c r="H27" i="12"/>
  <c r="H23" i="12"/>
  <c r="H21" i="12"/>
  <c r="O19" i="12"/>
  <c r="O27" i="12" s="1"/>
  <c r="K27" i="12"/>
  <c r="K21" i="12"/>
  <c r="K23" i="12"/>
  <c r="J24" i="12"/>
  <c r="J31" i="12" s="1"/>
  <c r="J28" i="12"/>
  <c r="N27" i="12"/>
  <c r="N21" i="12"/>
  <c r="N23" i="12"/>
  <c r="G27" i="12"/>
  <c r="G23" i="12"/>
  <c r="G21" i="12"/>
  <c r="K24" i="12"/>
  <c r="K31" i="12" s="1"/>
  <c r="K28" i="12"/>
  <c r="J27" i="12"/>
  <c r="J21" i="12"/>
  <c r="J23" i="12"/>
  <c r="L24" i="12"/>
  <c r="L31" i="12" s="1"/>
  <c r="L28" i="12"/>
  <c r="L27" i="12"/>
  <c r="L21" i="12"/>
  <c r="L23" i="12"/>
  <c r="G24" i="12"/>
  <c r="G31" i="12" s="1"/>
  <c r="G28" i="12"/>
  <c r="C23" i="12"/>
  <c r="C27" i="12"/>
  <c r="C21" i="12"/>
  <c r="D24" i="12"/>
  <c r="D31" i="12" s="1"/>
  <c r="D28" i="12"/>
  <c r="H25" i="12" l="1"/>
  <c r="H30" i="12"/>
  <c r="C30" i="12"/>
  <c r="C25" i="12"/>
  <c r="O23" i="12"/>
  <c r="O30" i="12" s="1"/>
  <c r="C31" i="12"/>
  <c r="O24" i="12"/>
  <c r="O31" i="12" s="1"/>
  <c r="I25" i="12"/>
  <c r="I30" i="12"/>
  <c r="G25" i="12"/>
  <c r="G30" i="12"/>
  <c r="E25" i="12"/>
  <c r="E30" i="12"/>
  <c r="L25" i="12"/>
  <c r="L30" i="12"/>
  <c r="M25" i="12"/>
  <c r="M30" i="12"/>
  <c r="O21" i="12"/>
  <c r="N30" i="12"/>
  <c r="N25" i="12"/>
  <c r="K25" i="12"/>
  <c r="K30" i="12"/>
  <c r="F25" i="12"/>
  <c r="F30" i="12"/>
  <c r="D25" i="12"/>
  <c r="D30" i="12"/>
  <c r="J25" i="12"/>
  <c r="J30" i="12"/>
  <c r="O25" i="12" l="1"/>
</calcChain>
</file>

<file path=xl/sharedStrings.xml><?xml version="1.0" encoding="utf-8"?>
<sst xmlns="http://schemas.openxmlformats.org/spreadsheetml/2006/main" count="452" uniqueCount="196">
  <si>
    <t>TOT ORE MACCHINA</t>
  </si>
  <si>
    <t>TOT</t>
  </si>
  <si>
    <t>gg calendario</t>
  </si>
  <si>
    <t>fine settimana</t>
  </si>
  <si>
    <t>gg lavorabili</t>
  </si>
  <si>
    <t>festivita'</t>
  </si>
  <si>
    <t>ferie annuali</t>
  </si>
  <si>
    <t>assenze/malattia/permessi non retribuiti</t>
  </si>
  <si>
    <t>gg presenza</t>
  </si>
  <si>
    <t>ore giorno</t>
  </si>
  <si>
    <t>ore presenza annue / persona</t>
  </si>
  <si>
    <t>ore disponibili per produzione / persona</t>
  </si>
  <si>
    <t>costo orario di manodopera diretta</t>
  </si>
  <si>
    <t>tot ore manodopera / ore per produzione</t>
  </si>
  <si>
    <t>attivita non di produzione (e.g. formazione in aula)</t>
  </si>
  <si>
    <t>costo totale / totale ore di manodopera diretta</t>
  </si>
  <si>
    <t>BUDGET 2024</t>
  </si>
  <si>
    <t>PIANO 2025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</si>
  <si>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</si>
  <si>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</si>
  <si>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</si>
  <si>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</si>
  <si>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</si>
  <si>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</si>
  <si>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</si>
  <si>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</si>
  <si>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</si>
  <si>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</si>
  <si>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</si>
  <si>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</si>
  <si>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Q1</t>
  </si>
  <si>
    <t>Q2</t>
  </si>
  <si>
    <t>Q3</t>
  </si>
  <si>
    <t>Q4</t>
  </si>
  <si>
    <t>copertura (mesi)</t>
  </si>
  <si>
    <t>copertura obiettivo (mesi)</t>
  </si>
  <si>
    <t>Scorte iniziali (+)</t>
  </si>
  <si>
    <t>acquisti (+)</t>
  </si>
  <si>
    <t>scorte finali</t>
  </si>
  <si>
    <t>Consumo (-)</t>
  </si>
  <si>
    <t>ore macchina set up STANDARD</t>
  </si>
  <si>
    <t>ore macchina prod STANDARD</t>
  </si>
  <si>
    <t>ore macchina cleaning STANDARD</t>
  </si>
  <si>
    <t>totale ore di manodopera diretta a budget ANNO</t>
  </si>
  <si>
    <t>TOTALE Quantita</t>
  </si>
  <si>
    <t>prezzo A</t>
  </si>
  <si>
    <t>prezzo B</t>
  </si>
  <si>
    <t>TOTALE Fatturato</t>
  </si>
  <si>
    <t>quantità A</t>
  </si>
  <si>
    <t>quantità B</t>
  </si>
  <si>
    <t>fatturato A</t>
  </si>
  <si>
    <t>fatturato B</t>
  </si>
  <si>
    <t>VENDITE</t>
  </si>
  <si>
    <t>Quantità da vendere</t>
  </si>
  <si>
    <t>quantità</t>
  </si>
  <si>
    <t>Vendite (-)</t>
  </si>
  <si>
    <t>produzione (+)</t>
  </si>
  <si>
    <t>% vs 2024</t>
  </si>
  <si>
    <t>prod A</t>
  </si>
  <si>
    <t>prod B</t>
  </si>
  <si>
    <t>piano produzione</t>
  </si>
  <si>
    <t>capacita utilizzata</t>
  </si>
  <si>
    <t xml:space="preserve">quantita da produrre </t>
  </si>
  <si>
    <t>ore / q prod</t>
  </si>
  <si>
    <t>tot ore</t>
  </si>
  <si>
    <t>quantità producibili A</t>
  </si>
  <si>
    <t>quantità producibili B</t>
  </si>
  <si>
    <t>Quantità da produrre</t>
  </si>
  <si>
    <t>capacità utilizzata</t>
  </si>
  <si>
    <t>ore manodopera set up STANDARD</t>
  </si>
  <si>
    <t>ore manodopera prod STANDARD</t>
  </si>
  <si>
    <t>ore manodopera cleaning STANDARD</t>
  </si>
  <si>
    <t>operaori / macchina</t>
  </si>
  <si>
    <t>ROUTING prod B</t>
  </si>
  <si>
    <t>ROUTING prod A</t>
  </si>
  <si>
    <t>TOT ORE MANODOPERA</t>
  </si>
  <si>
    <t>manodopera diretta</t>
  </si>
  <si>
    <t>interninali</t>
  </si>
  <si>
    <t>N OPERATORI DIRETTI EQUIVALENTI</t>
  </si>
  <si>
    <t>part time</t>
  </si>
  <si>
    <t>N per</t>
  </si>
  <si>
    <t>val uni</t>
  </si>
  <si>
    <t>cost tot</t>
  </si>
  <si>
    <t>5% come parttime con costoequivalente  maggiorato del 10%</t>
  </si>
  <si>
    <t>15% come interinali con costo maggiorato del 5%</t>
  </si>
  <si>
    <t>TOT COSTO MANODOPERA DIRETTA</t>
  </si>
  <si>
    <t>10 macch * 16 h * 5 gg * 4,5 settimane</t>
  </si>
  <si>
    <t>10% set up / 70% prod / 20% cleaning</t>
  </si>
  <si>
    <t>prod A 3000 pezzi/mese su 2 turni e 10 macchine</t>
  </si>
  <si>
    <t>minori fermate e minore tempo di produzione</t>
  </si>
  <si>
    <t>5% su gg lavorabili</t>
  </si>
  <si>
    <t>10% su ore di presenza</t>
  </si>
  <si>
    <t>ipotesi di lavoro senza fine settimana</t>
  </si>
  <si>
    <t>quant materie / q prod</t>
  </si>
  <si>
    <t>materiale C</t>
  </si>
  <si>
    <t>materiale D</t>
  </si>
  <si>
    <t>materiale D metri</t>
  </si>
  <si>
    <t>materiale C litri</t>
  </si>
  <si>
    <t>b</t>
  </si>
  <si>
    <t>a</t>
  </si>
  <si>
    <t>materiale E metri</t>
  </si>
  <si>
    <t>TOT CONSUMO</t>
  </si>
  <si>
    <t>PRODUZIONE</t>
  </si>
  <si>
    <t xml:space="preserve">quantita da acquistare </t>
  </si>
  <si>
    <t>0 - 1500</t>
  </si>
  <si>
    <t>1501 - 3000</t>
  </si>
  <si>
    <t>3001 - 10000</t>
  </si>
  <si>
    <t>sopra 10000</t>
  </si>
  <si>
    <t>valore acquistato</t>
  </si>
  <si>
    <t>prezzo acquito</t>
  </si>
  <si>
    <t>prezzo medio</t>
  </si>
  <si>
    <t>nessuno</t>
  </si>
  <si>
    <t>0 - 2000</t>
  </si>
  <si>
    <t>materiale E</t>
  </si>
  <si>
    <t>500 ad acquisto</t>
  </si>
  <si>
    <t>3000 per ogni acquisto</t>
  </si>
  <si>
    <t>ALTI costi acquisto</t>
  </si>
  <si>
    <t>NESSUN costi acquisto</t>
  </si>
  <si>
    <t>BASSI costi acquisto</t>
  </si>
  <si>
    <t>pagamento in gg</t>
  </si>
  <si>
    <t>4001 - 10000</t>
  </si>
  <si>
    <t>2001 - 4000</t>
  </si>
  <si>
    <t>3001 - 8000</t>
  </si>
  <si>
    <t>0 - 3000</t>
  </si>
  <si>
    <t>5001 - 8000</t>
  </si>
  <si>
    <t>sopra 8000</t>
  </si>
  <si>
    <t>materiale C costo</t>
  </si>
  <si>
    <t>materiale D costo</t>
  </si>
  <si>
    <t>costo medio</t>
  </si>
  <si>
    <t>materiale E costo</t>
  </si>
  <si>
    <t>manodopera A</t>
  </si>
  <si>
    <t>manodopera B</t>
  </si>
  <si>
    <t>materiali A</t>
  </si>
  <si>
    <t>materiali B</t>
  </si>
  <si>
    <t>costo industriale A</t>
  </si>
  <si>
    <t>costo industriale B</t>
  </si>
  <si>
    <t>margine A</t>
  </si>
  <si>
    <t>margine B</t>
  </si>
  <si>
    <t>costo totale di manodopera diretta interna = 30000</t>
  </si>
  <si>
    <t>piano prod</t>
  </si>
  <si>
    <t>TOT costo industriale</t>
  </si>
  <si>
    <t>quantità fine 2023 A</t>
  </si>
  <si>
    <t>quantità fine 2023 B</t>
  </si>
  <si>
    <t>quantità fine 2024 B</t>
  </si>
  <si>
    <t>quantità fine 2024 A</t>
  </si>
  <si>
    <t>capacita mensile tra 3000 (prodotto A) e 4000 (prodotto B)</t>
  </si>
  <si>
    <t>giacenza media</t>
  </si>
  <si>
    <t>prod B 4000 pezzi/mese su 2 turni e 10 macchine</t>
  </si>
  <si>
    <t>TOT MATERIALI</t>
  </si>
  <si>
    <t>materiali da consumare</t>
  </si>
  <si>
    <t>A prodotto maturo con abbassamento di prezzo</t>
  </si>
  <si>
    <t>B prodotto nuovo con aumento di prezzo</t>
  </si>
  <si>
    <t>ipotesi di 35 ore settimanali</t>
  </si>
  <si>
    <t>costo primo A</t>
  </si>
  <si>
    <t>costo primo B</t>
  </si>
  <si>
    <t>TOT costo primo</t>
  </si>
  <si>
    <t>ore macchina A</t>
  </si>
  <si>
    <t>ore macchina B</t>
  </si>
  <si>
    <t>TOTALE ore manodopera</t>
  </si>
  <si>
    <t>TOTALE ore macchina</t>
  </si>
  <si>
    <t>ore prod A</t>
  </si>
  <si>
    <t>ore prod B</t>
  </si>
  <si>
    <t>ENERGIA</t>
  </si>
  <si>
    <t>energia prod A</t>
  </si>
  <si>
    <t>energia prod B</t>
  </si>
  <si>
    <t>manutenzione prod A</t>
  </si>
  <si>
    <t>manutenzione prod B</t>
  </si>
  <si>
    <t>MANUTENZIONE</t>
  </si>
  <si>
    <t>PERSONALE IND. PROD</t>
  </si>
  <si>
    <t>totale ore macchina</t>
  </si>
  <si>
    <t>ore prouzione (senza set up e cleaning)</t>
  </si>
  <si>
    <t>ore maniodopera</t>
  </si>
  <si>
    <t>ALTRI COSTI PROD</t>
  </si>
  <si>
    <t>personale ind. prod A</t>
  </si>
  <si>
    <t>personale ind. prod B</t>
  </si>
  <si>
    <t>altri costi prod A</t>
  </si>
  <si>
    <t>altri costi prod B</t>
  </si>
  <si>
    <t>costo primo</t>
  </si>
  <si>
    <t>TOT primo margine</t>
  </si>
  <si>
    <t>totale A</t>
  </si>
  <si>
    <t>total B</t>
  </si>
  <si>
    <t>altri costi industriali A</t>
  </si>
  <si>
    <t>tot costo industriale A</t>
  </si>
  <si>
    <t>altri costi industriali B</t>
  </si>
  <si>
    <t>tot costo industriale B</t>
  </si>
  <si>
    <t>margine ind. A</t>
  </si>
  <si>
    <t>margine ind. B</t>
  </si>
  <si>
    <t>TOT margine industriale</t>
  </si>
  <si>
    <t>costo primo A unit</t>
  </si>
  <si>
    <t>costo industriale A unit</t>
  </si>
  <si>
    <t>costo primo B unit</t>
  </si>
  <si>
    <t>COST UNIT</t>
  </si>
  <si>
    <t>PREZZO unir</t>
  </si>
  <si>
    <t>MARGINE UNITARIO</t>
  </si>
  <si>
    <t>chiave di riparto</t>
  </si>
  <si>
    <t>TOTALE ore produzione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</si>
</sst>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#,##0_ ;[Red]\-#,##0\ "/>
    <numFmt numFmtId="169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0" fillId="0" borderId="17" xfId="0" applyBorder="1"/>
    <xf numFmtId="0" fontId="0" fillId="0" borderId="14" xfId="0" applyBorder="1"/>
    <xf numFmtId="0" fontId="2" fillId="0" borderId="0" xfId="0" applyFont="1"/>
    <xf numFmtId="0" fontId="0" fillId="0" borderId="20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21" xfId="0" applyBorder="1" applyAlignment="1">
      <alignment horizontal="right"/>
    </xf>
    <xf numFmtId="164" fontId="0" fillId="0" borderId="21" xfId="1" applyNumberFormat="1" applyFont="1" applyBorder="1"/>
    <xf numFmtId="9" fontId="0" fillId="0" borderId="0" xfId="2" applyFont="1"/>
    <xf numFmtId="164" fontId="0" fillId="0" borderId="0" xfId="1" applyNumberFormat="1" applyFont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3" fontId="2" fillId="0" borderId="2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166" fontId="0" fillId="0" borderId="0" xfId="1" applyNumberFormat="1" applyFont="1"/>
    <xf numFmtId="1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  <xf numFmtId="168" fontId="0" fillId="0" borderId="0" xfId="1" applyNumberFormat="1" applyFont="1" applyAlignment="1">
      <alignment horizontal="right"/>
    </xf>
    <xf numFmtId="0" fontId="0" fillId="0" borderId="31" xfId="0" applyBorder="1" applyAlignment="1">
      <alignment horizontal="right"/>
    </xf>
    <xf numFmtId="168" fontId="0" fillId="0" borderId="17" xfId="1" applyNumberFormat="1" applyFont="1" applyBorder="1"/>
    <xf numFmtId="168" fontId="0" fillId="0" borderId="32" xfId="1" applyNumberFormat="1" applyFont="1" applyBorder="1"/>
    <xf numFmtId="0" fontId="0" fillId="0" borderId="18" xfId="0" applyBorder="1" applyAlignment="1">
      <alignment horizontal="right"/>
    </xf>
    <xf numFmtId="168" fontId="0" fillId="0" borderId="0" xfId="1" applyNumberFormat="1" applyFont="1" applyBorder="1"/>
    <xf numFmtId="168" fontId="0" fillId="0" borderId="20" xfId="1" applyNumberFormat="1" applyFont="1" applyBorder="1"/>
    <xf numFmtId="0" fontId="0" fillId="0" borderId="33" xfId="0" applyBorder="1" applyAlignment="1">
      <alignment horizontal="right"/>
    </xf>
    <xf numFmtId="168" fontId="0" fillId="0" borderId="21" xfId="1" applyNumberFormat="1" applyFont="1" applyBorder="1"/>
    <xf numFmtId="0" fontId="0" fillId="0" borderId="32" xfId="0" applyBorder="1"/>
    <xf numFmtId="0" fontId="0" fillId="0" borderId="35" xfId="0" applyBorder="1"/>
    <xf numFmtId="3" fontId="2" fillId="0" borderId="5" xfId="0" applyNumberFormat="1" applyFont="1" applyBorder="1"/>
    <xf numFmtId="3" fontId="2" fillId="0" borderId="2" xfId="0" applyNumberFormat="1" applyFont="1" applyBorder="1"/>
    <xf numFmtId="3" fontId="0" fillId="0" borderId="37" xfId="0" applyNumberFormat="1" applyBorder="1" applyAlignment="1">
      <alignment horizontal="center"/>
    </xf>
    <xf numFmtId="168" fontId="3" fillId="0" borderId="0" xfId="1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3" fontId="0" fillId="3" borderId="0" xfId="0" applyNumberFormat="1" applyFill="1"/>
    <xf numFmtId="168" fontId="0" fillId="4" borderId="0" xfId="1" applyNumberFormat="1" applyFont="1" applyFill="1" applyBorder="1"/>
    <xf numFmtId="3" fontId="0" fillId="0" borderId="0" xfId="0" applyNumberFormat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9" fontId="0" fillId="0" borderId="0" xfId="2" applyFont="1" applyAlignment="1">
      <alignment horizontal="right"/>
    </xf>
    <xf numFmtId="166" fontId="0" fillId="0" borderId="0" xfId="1" applyNumberFormat="1" applyFont="1" applyAlignment="1">
      <alignment horizontal="right"/>
    </xf>
    <xf numFmtId="167" fontId="0" fillId="4" borderId="0" xfId="1" applyNumberFormat="1" applyFont="1" applyFill="1"/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168" fontId="0" fillId="0" borderId="0" xfId="1" applyNumberFormat="1" applyFont="1" applyFill="1" applyBorder="1"/>
    <xf numFmtId="2" fontId="2" fillId="0" borderId="5" xfId="0" applyNumberFormat="1" applyFont="1" applyBorder="1"/>
    <xf numFmtId="0" fontId="0" fillId="0" borderId="40" xfId="0" applyBorder="1"/>
    <xf numFmtId="2" fontId="0" fillId="0" borderId="41" xfId="0" applyNumberFormat="1" applyBorder="1"/>
    <xf numFmtId="9" fontId="2" fillId="0" borderId="0" xfId="2" applyFont="1" applyBorder="1"/>
    <xf numFmtId="2" fontId="0" fillId="4" borderId="1" xfId="0" applyNumberFormat="1" applyFill="1" applyBorder="1"/>
    <xf numFmtId="2" fontId="0" fillId="4" borderId="10" xfId="0" applyNumberFormat="1" applyFill="1" applyBorder="1"/>
    <xf numFmtId="167" fontId="0" fillId="0" borderId="0" xfId="1" applyNumberFormat="1" applyFont="1" applyAlignment="1">
      <alignment horizontal="right"/>
    </xf>
    <xf numFmtId="3" fontId="0" fillId="0" borderId="7" xfId="0" applyNumberFormat="1" applyBorder="1"/>
    <xf numFmtId="3" fontId="0" fillId="0" borderId="1" xfId="0" applyNumberFormat="1" applyBorder="1"/>
    <xf numFmtId="3" fontId="0" fillId="0" borderId="41" xfId="0" applyNumberFormat="1" applyBorder="1"/>
    <xf numFmtId="3" fontId="2" fillId="0" borderId="0" xfId="0" applyNumberFormat="1" applyFont="1"/>
    <xf numFmtId="3" fontId="2" fillId="0" borderId="37" xfId="0" applyNumberFormat="1" applyFont="1" applyBorder="1" applyAlignment="1">
      <alignment horizontal="center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64" fontId="0" fillId="4" borderId="21" xfId="1" applyNumberFormat="1" applyFont="1" applyFill="1" applyBorder="1"/>
    <xf numFmtId="4" fontId="2" fillId="0" borderId="0" xfId="0" applyNumberFormat="1" applyFont="1"/>
    <xf numFmtId="2" fontId="0" fillId="0" borderId="0" xfId="0" applyNumberFormat="1"/>
    <xf numFmtId="168" fontId="0" fillId="4" borderId="21" xfId="1" applyNumberFormat="1" applyFont="1" applyFill="1" applyBorder="1"/>
    <xf numFmtId="2" fontId="0" fillId="0" borderId="0" xfId="0" applyNumberFormat="1" applyAlignment="1">
      <alignment horizontal="right"/>
    </xf>
    <xf numFmtId="166" fontId="0" fillId="0" borderId="0" xfId="1" applyNumberFormat="1" applyFont="1" applyFill="1" applyBorder="1"/>
    <xf numFmtId="167" fontId="0" fillId="0" borderId="0" xfId="1" applyNumberFormat="1" applyFont="1" applyFill="1" applyBorder="1"/>
    <xf numFmtId="0" fontId="0" fillId="0" borderId="31" xfId="0" applyBorder="1"/>
    <xf numFmtId="3" fontId="0" fillId="0" borderId="17" xfId="0" applyNumberFormat="1" applyBorder="1"/>
    <xf numFmtId="166" fontId="0" fillId="0" borderId="0" xfId="1" applyNumberFormat="1" applyFont="1" applyBorder="1"/>
    <xf numFmtId="166" fontId="0" fillId="0" borderId="0" xfId="1" applyNumberFormat="1" applyFont="1" applyBorder="1" applyAlignment="1">
      <alignment horizontal="right"/>
    </xf>
    <xf numFmtId="167" fontId="0" fillId="4" borderId="0" xfId="1" applyNumberFormat="1" applyFont="1" applyFill="1" applyBorder="1"/>
    <xf numFmtId="0" fontId="0" fillId="0" borderId="36" xfId="0" applyBorder="1" applyAlignment="1">
      <alignment horizontal="right"/>
    </xf>
    <xf numFmtId="0" fontId="0" fillId="0" borderId="34" xfId="0" applyBorder="1"/>
    <xf numFmtId="0" fontId="0" fillId="0" borderId="34" xfId="0" applyBorder="1" applyAlignment="1">
      <alignment horizontal="right"/>
    </xf>
    <xf numFmtId="0" fontId="3" fillId="0" borderId="20" xfId="0" applyFont="1" applyBorder="1"/>
    <xf numFmtId="168" fontId="3" fillId="0" borderId="34" xfId="1" applyNumberFormat="1" applyFont="1" applyFill="1" applyBorder="1"/>
    <xf numFmtId="166" fontId="0" fillId="0" borderId="20" xfId="1" applyNumberFormat="1" applyFont="1" applyFill="1" applyBorder="1" applyAlignment="1">
      <alignment horizontal="right"/>
    </xf>
    <xf numFmtId="168" fontId="0" fillId="0" borderId="20" xfId="1" applyNumberFormat="1" applyFont="1" applyFill="1" applyBorder="1"/>
    <xf numFmtId="169" fontId="0" fillId="0" borderId="0" xfId="1" applyNumberFormat="1" applyFont="1" applyBorder="1"/>
    <xf numFmtId="0" fontId="2" fillId="0" borderId="34" xfId="0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0" fillId="2" borderId="31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2" fontId="0" fillId="4" borderId="5" xfId="0" applyNumberFormat="1" applyFill="1" applyBorder="1"/>
    <xf numFmtId="3" fontId="0" fillId="4" borderId="7" xfId="0" applyNumberFormat="1" applyFill="1" applyBorder="1"/>
    <xf numFmtId="3" fontId="0" fillId="4" borderId="1" xfId="0" applyNumberFormat="1" applyFill="1" applyBorder="1"/>
    <xf numFmtId="3" fontId="0" fillId="4" borderId="10" xfId="0" applyNumberFormat="1" applyFill="1" applyBorder="1"/>
    <xf numFmtId="2" fontId="0" fillId="0" borderId="7" xfId="0" applyNumberFormat="1" applyBorder="1"/>
    <xf numFmtId="2" fontId="0" fillId="0" borderId="1" xfId="0" applyNumberFormat="1" applyBorder="1"/>
    <xf numFmtId="3" fontId="0" fillId="0" borderId="0" xfId="0" applyNumberFormat="1" applyAlignment="1">
      <alignment wrapText="1"/>
    </xf>
    <xf numFmtId="165" fontId="0" fillId="4" borderId="0" xfId="0" applyNumberFormat="1" applyFill="1"/>
    <xf numFmtId="2" fontId="0" fillId="0" borderId="10" xfId="0" applyNumberFormat="1" applyBorder="1"/>
    <xf numFmtId="3" fontId="0" fillId="4" borderId="0" xfId="0" applyNumberFormat="1" applyFill="1"/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3" fontId="0" fillId="0" borderId="42" xfId="0" applyNumberFormat="1" applyBorder="1" applyAlignment="1">
      <alignment horizontal="center" vertical="center" wrapText="1"/>
    </xf>
    <xf numFmtId="3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microsoft.com/office/2017/10/relationships/person" Target="persons/person2.xml"/><Relationship Id="rId20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Quantità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'budget vendite'!$A$5</c:f>
              <c:strCache>
                <c:ptCount val="1"/>
                <c:pt idx="0">
                  <c:v>TOTALE Quantita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vendite'!$B$5:$M$5</c:f>
              <c:numCache>
                <c:formatCode>#,##0</c:formatCode>
                <c:ptCount val="12"/>
                <c:pt idx="0">
                  <c:v>2960</c:v>
                </c:pt>
                <c:pt idx="1">
                  <c:v>2800</c:v>
                </c:pt>
                <c:pt idx="2">
                  <c:v>2550</c:v>
                </c:pt>
                <c:pt idx="3">
                  <c:v>2580</c:v>
                </c:pt>
                <c:pt idx="4">
                  <c:v>2880</c:v>
                </c:pt>
                <c:pt idx="5">
                  <c:v>2850</c:v>
                </c:pt>
                <c:pt idx="6">
                  <c:v>3090</c:v>
                </c:pt>
                <c:pt idx="7">
                  <c:v>3310</c:v>
                </c:pt>
                <c:pt idx="8">
                  <c:v>3560</c:v>
                </c:pt>
                <c:pt idx="9">
                  <c:v>3690</c:v>
                </c:pt>
                <c:pt idx="10">
                  <c:v>3770</c:v>
                </c:pt>
                <c:pt idx="11">
                  <c:v>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2-4FA6-8824-5EA386292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'budget vendite'!$A$3</c:f>
              <c:strCache>
                <c:ptCount val="1"/>
                <c:pt idx="0">
                  <c:v>quantità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vendite'!$B$3:$M$3</c:f>
              <c:numCache>
                <c:formatCode>#,##0</c:formatCode>
                <c:ptCount val="12"/>
                <c:pt idx="0">
                  <c:v>1830</c:v>
                </c:pt>
                <c:pt idx="1">
                  <c:v>1760</c:v>
                </c:pt>
                <c:pt idx="2">
                  <c:v>1460</c:v>
                </c:pt>
                <c:pt idx="3">
                  <c:v>1330</c:v>
                </c:pt>
                <c:pt idx="4">
                  <c:v>1200</c:v>
                </c:pt>
                <c:pt idx="5">
                  <c:v>910</c:v>
                </c:pt>
                <c:pt idx="6">
                  <c:v>960</c:v>
                </c:pt>
                <c:pt idx="7">
                  <c:v>1210</c:v>
                </c:pt>
                <c:pt idx="8">
                  <c:v>1680</c:v>
                </c:pt>
                <c:pt idx="9">
                  <c:v>1980</c:v>
                </c:pt>
                <c:pt idx="10">
                  <c:v>2270</c:v>
                </c:pt>
                <c:pt idx="11">
                  <c:v>2470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2-4FA6-8824-5EA386292323}"/>
            </c:ext>
          </c:extLst>
        </c:ser>
        <c:ser>
          <c:idx val="1"/>
          <c:order val="1"/>
          <c:tx>
            <c:strRef>
              <c:f>'budget vendite'!$A$4</c:f>
              <c:strCache>
                <c:ptCount val="1"/>
                <c:pt idx="0">
                  <c:v>quantità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vendite'!$B$4:$M$4</c:f>
              <c:numCache>
                <c:formatCode>#,##0</c:formatCode>
                <c:ptCount val="12"/>
                <c:pt idx="0">
                  <c:v>1130</c:v>
                </c:pt>
                <c:pt idx="1">
                  <c:v>1040</c:v>
                </c:pt>
                <c:pt idx="2">
                  <c:v>1090</c:v>
                </c:pt>
                <c:pt idx="3">
                  <c:v>1250</c:v>
                </c:pt>
                <c:pt idx="4">
                  <c:v>1680</c:v>
                </c:pt>
                <c:pt idx="5">
                  <c:v>1940</c:v>
                </c:pt>
                <c:pt idx="6">
                  <c:v>2130</c:v>
                </c:pt>
                <c:pt idx="7">
                  <c:v>2100</c:v>
                </c:pt>
                <c:pt idx="8">
                  <c:v>1880</c:v>
                </c:pt>
                <c:pt idx="9">
                  <c:v>1710</c:v>
                </c:pt>
                <c:pt idx="10">
                  <c:v>1500</c:v>
                </c:pt>
                <c:pt idx="11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2-4FA6-8824-5EA386292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Fatturato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'budget vendite'!$A$12</c:f>
              <c:strCache>
                <c:ptCount val="1"/>
                <c:pt idx="0">
                  <c:v>TOTALE Fatturato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vendite'!$B$12:$M$12</c:f>
              <c:numCache>
                <c:formatCode>#,##0</c:formatCode>
                <c:ptCount val="12"/>
                <c:pt idx="0">
                  <c:v>307300</c:v>
                </c:pt>
                <c:pt idx="1">
                  <c:v>290400</c:v>
                </c:pt>
                <c:pt idx="2">
                  <c:v>265900</c:v>
                </c:pt>
                <c:pt idx="3">
                  <c:v>270500</c:v>
                </c:pt>
                <c:pt idx="4">
                  <c:v>304800</c:v>
                </c:pt>
                <c:pt idx="5">
                  <c:v>304400</c:v>
                </c:pt>
                <c:pt idx="6">
                  <c:v>330300</c:v>
                </c:pt>
                <c:pt idx="7">
                  <c:v>417850</c:v>
                </c:pt>
                <c:pt idx="8">
                  <c:v>424800</c:v>
                </c:pt>
                <c:pt idx="9">
                  <c:v>424800</c:v>
                </c:pt>
                <c:pt idx="10">
                  <c:v>417950</c:v>
                </c:pt>
                <c:pt idx="11">
                  <c:v>419950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59-435D-B247-65B1B55B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'budget vendite'!$A$10</c:f>
              <c:strCache>
                <c:ptCount val="1"/>
                <c:pt idx="0">
                  <c:v>fatturato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vendite'!$B$10:$M$10</c:f>
              <c:numCache>
                <c:formatCode>#,##0</c:formatCode>
                <c:ptCount val="12"/>
                <c:pt idx="0">
                  <c:v>183000</c:v>
                </c:pt>
                <c:pt idx="1">
                  <c:v>176000</c:v>
                </c:pt>
                <c:pt idx="2">
                  <c:v>146000</c:v>
                </c:pt>
                <c:pt idx="3">
                  <c:v>133000</c:v>
                </c:pt>
                <c:pt idx="4">
                  <c:v>120000</c:v>
                </c:pt>
                <c:pt idx="5">
                  <c:v>91000</c:v>
                </c:pt>
                <c:pt idx="6">
                  <c:v>96000</c:v>
                </c:pt>
                <c:pt idx="7">
                  <c:v>102850</c:v>
                </c:pt>
                <c:pt idx="8">
                  <c:v>142800</c:v>
                </c:pt>
                <c:pt idx="9">
                  <c:v>168300</c:v>
                </c:pt>
                <c:pt idx="10">
                  <c:v>192950</c:v>
                </c:pt>
                <c:pt idx="11">
                  <c:v>209950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9-435D-B247-65B1B55BCE20}"/>
            </c:ext>
          </c:extLst>
        </c:ser>
        <c:ser>
          <c:idx val="1"/>
          <c:order val="1"/>
          <c:tx>
            <c:strRef>
              <c:f>'budget vendite'!$A$11</c:f>
              <c:strCache>
                <c:ptCount val="1"/>
                <c:pt idx="0">
                  <c:v>fatturato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 vendite'!$B$2:$M$2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vendite'!$B$11:$M$11</c:f>
              <c:numCache>
                <c:formatCode>#,##0</c:formatCode>
                <c:ptCount val="12"/>
                <c:pt idx="0">
                  <c:v>124300</c:v>
                </c:pt>
                <c:pt idx="1">
                  <c:v>114400</c:v>
                </c:pt>
                <c:pt idx="2">
                  <c:v>119900</c:v>
                </c:pt>
                <c:pt idx="3">
                  <c:v>137500</c:v>
                </c:pt>
                <c:pt idx="4">
                  <c:v>184800</c:v>
                </c:pt>
                <c:pt idx="5">
                  <c:v>213400</c:v>
                </c:pt>
                <c:pt idx="6">
                  <c:v>234300</c:v>
                </c:pt>
                <c:pt idx="7">
                  <c:v>315000</c:v>
                </c:pt>
                <c:pt idx="8">
                  <c:v>282000</c:v>
                </c:pt>
                <c:pt idx="9">
                  <c:v>256500</c:v>
                </c:pt>
                <c:pt idx="10">
                  <c:v>225000</c:v>
                </c:pt>
                <c:pt idx="11">
                  <c:v>210000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9-435D-B247-65B1B55B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400" b="0"/>
              <a:t>Quantità da vendere e producibili</a:t>
            </a:r>
            <a:endParaRPr lang="it-IT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'piano di produzione'!$A$5</c:f>
              <c:strCache>
                <c:ptCount val="1"/>
                <c:pt idx="0">
                  <c:v>Quantità da vendere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produzione'!$B$5:$M$5</c:f>
              <c:numCache>
                <c:formatCode>#,##0</c:formatCode>
                <c:ptCount val="12"/>
                <c:pt idx="0">
                  <c:v>2960</c:v>
                </c:pt>
                <c:pt idx="1">
                  <c:v>2800</c:v>
                </c:pt>
                <c:pt idx="2">
                  <c:v>2550</c:v>
                </c:pt>
                <c:pt idx="3">
                  <c:v>2580</c:v>
                </c:pt>
                <c:pt idx="4">
                  <c:v>2880</c:v>
                </c:pt>
                <c:pt idx="5">
                  <c:v>2850</c:v>
                </c:pt>
                <c:pt idx="6">
                  <c:v>3090</c:v>
                </c:pt>
                <c:pt idx="7">
                  <c:v>3310</c:v>
                </c:pt>
                <c:pt idx="8">
                  <c:v>3560</c:v>
                </c:pt>
                <c:pt idx="9">
                  <c:v>3690</c:v>
                </c:pt>
                <c:pt idx="10">
                  <c:v>3770</c:v>
                </c:pt>
                <c:pt idx="11">
                  <c:v>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0-49A4-A23F-69556FEC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3"/>
          <c:order val="1"/>
          <c:tx>
            <c:strRef>
              <c:f>'piano di produzione'!$A$8</c:f>
              <c:strCache>
                <c:ptCount val="1"/>
                <c:pt idx="0">
                  <c:v>quantità producibili B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produzione'!$B$8:$M$8</c:f>
              <c:numCache>
                <c:formatCode>#,##0</c:formatCode>
                <c:ptCount val="12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80-49A4-A23F-69556FEC7ECF}"/>
            </c:ext>
          </c:extLst>
        </c:ser>
        <c:ser>
          <c:idx val="1"/>
          <c:order val="2"/>
          <c:tx>
            <c:strRef>
              <c:f>'piano di produzione'!$A$7</c:f>
              <c:strCache>
                <c:ptCount val="1"/>
                <c:pt idx="0">
                  <c:v>quantità producibili A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produzione'!$B$7:$M$7</c:f>
              <c:numCache>
                <c:formatCode>#,##0</c:formatCode>
                <c:ptCount val="12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80-49A4-A23F-69556FEC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876854098235416E-2"/>
          <c:y val="0.77798405142155147"/>
          <c:w val="0.98712314590176464"/>
          <c:h val="0.1871901325026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400" b="0"/>
              <a:t>Quantità da vendere e da</a:t>
            </a:r>
            <a:r>
              <a:rPr lang="it-IT" sz="1400" b="0" baseline="0"/>
              <a:t> produrre</a:t>
            </a:r>
            <a:endParaRPr lang="it-IT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'piano di produzione'!$A$5</c:f>
              <c:strCache>
                <c:ptCount val="1"/>
                <c:pt idx="0">
                  <c:v>Quantità da vendere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produzione'!$B$5:$M$5</c:f>
              <c:numCache>
                <c:formatCode>#,##0</c:formatCode>
                <c:ptCount val="12"/>
                <c:pt idx="0">
                  <c:v>2960</c:v>
                </c:pt>
                <c:pt idx="1">
                  <c:v>2800</c:v>
                </c:pt>
                <c:pt idx="2">
                  <c:v>2550</c:v>
                </c:pt>
                <c:pt idx="3">
                  <c:v>2580</c:v>
                </c:pt>
                <c:pt idx="4">
                  <c:v>2880</c:v>
                </c:pt>
                <c:pt idx="5">
                  <c:v>2850</c:v>
                </c:pt>
                <c:pt idx="6">
                  <c:v>3090</c:v>
                </c:pt>
                <c:pt idx="7">
                  <c:v>3310</c:v>
                </c:pt>
                <c:pt idx="8">
                  <c:v>3560</c:v>
                </c:pt>
                <c:pt idx="9">
                  <c:v>3690</c:v>
                </c:pt>
                <c:pt idx="10">
                  <c:v>3770</c:v>
                </c:pt>
                <c:pt idx="11">
                  <c:v>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9-4FCE-A8F7-58DEA702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1"/>
          <c:order val="1"/>
          <c:tx>
            <c:strRef>
              <c:f>'piano di produzione'!$A$13</c:f>
              <c:strCache>
                <c:ptCount val="1"/>
                <c:pt idx="0">
                  <c:v>Quantità da produrre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'piano di produzione'!$B$2:$M$2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'piano di produzione'!$B$13:$M$13</c:f>
              <c:numCache>
                <c:formatCode>#,##0</c:formatCode>
                <c:ptCount val="12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3250</c:v>
                </c:pt>
                <c:pt idx="6">
                  <c:v>3250</c:v>
                </c:pt>
                <c:pt idx="7">
                  <c:v>0</c:v>
                </c:pt>
                <c:pt idx="8">
                  <c:v>3000</c:v>
                </c:pt>
                <c:pt idx="9">
                  <c:v>3000</c:v>
                </c:pt>
                <c:pt idx="10">
                  <c:v>3250</c:v>
                </c:pt>
                <c:pt idx="11">
                  <c:v>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69-4FCE-A8F7-58DEA702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876854098235416E-2"/>
          <c:y val="0.77798405142155147"/>
          <c:w val="0.98712314590176464"/>
          <c:h val="0.1871901325026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Quantità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'fatturato e margini'!$A$5</c:f>
              <c:strCache>
                <c:ptCount val="1"/>
                <c:pt idx="0">
                  <c:v>TOTALE Quantita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margini'!$C$5:$N$5</c:f>
              <c:numCache>
                <c:formatCode>#,##0</c:formatCode>
                <c:ptCount val="12"/>
                <c:pt idx="0">
                  <c:v>2960</c:v>
                </c:pt>
                <c:pt idx="1">
                  <c:v>2800</c:v>
                </c:pt>
                <c:pt idx="2">
                  <c:v>2550</c:v>
                </c:pt>
                <c:pt idx="3">
                  <c:v>2580</c:v>
                </c:pt>
                <c:pt idx="4">
                  <c:v>2880</c:v>
                </c:pt>
                <c:pt idx="5">
                  <c:v>2850</c:v>
                </c:pt>
                <c:pt idx="6">
                  <c:v>3090</c:v>
                </c:pt>
                <c:pt idx="7">
                  <c:v>3310</c:v>
                </c:pt>
                <c:pt idx="8">
                  <c:v>3560</c:v>
                </c:pt>
                <c:pt idx="9">
                  <c:v>3690</c:v>
                </c:pt>
                <c:pt idx="10">
                  <c:v>3770</c:v>
                </c:pt>
                <c:pt idx="11">
                  <c:v>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F-41A9-85D1-BCC10379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'fatturato e margini'!$A$3</c:f>
              <c:strCache>
                <c:ptCount val="1"/>
                <c:pt idx="0">
                  <c:v>quantità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margini'!$C$3:$N$3</c:f>
              <c:numCache>
                <c:formatCode>#,##0</c:formatCode>
                <c:ptCount val="12"/>
                <c:pt idx="0">
                  <c:v>1830</c:v>
                </c:pt>
                <c:pt idx="1">
                  <c:v>1760</c:v>
                </c:pt>
                <c:pt idx="2">
                  <c:v>1460</c:v>
                </c:pt>
                <c:pt idx="3">
                  <c:v>1330</c:v>
                </c:pt>
                <c:pt idx="4">
                  <c:v>1200</c:v>
                </c:pt>
                <c:pt idx="5">
                  <c:v>910</c:v>
                </c:pt>
                <c:pt idx="6">
                  <c:v>960</c:v>
                </c:pt>
                <c:pt idx="7">
                  <c:v>1210</c:v>
                </c:pt>
                <c:pt idx="8">
                  <c:v>1680</c:v>
                </c:pt>
                <c:pt idx="9">
                  <c:v>1980</c:v>
                </c:pt>
                <c:pt idx="10">
                  <c:v>2270</c:v>
                </c:pt>
                <c:pt idx="11">
                  <c:v>2470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F-41A9-85D1-BCC103792EE4}"/>
            </c:ext>
          </c:extLst>
        </c:ser>
        <c:ser>
          <c:idx val="1"/>
          <c:order val="1"/>
          <c:tx>
            <c:strRef>
              <c:f>'fatturato e margini'!$A$4</c:f>
              <c:strCache>
                <c:ptCount val="1"/>
                <c:pt idx="0">
                  <c:v>quantità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margini'!$C$4:$N$4</c:f>
              <c:numCache>
                <c:formatCode>#,##0</c:formatCode>
                <c:ptCount val="12"/>
                <c:pt idx="0">
                  <c:v>1130</c:v>
                </c:pt>
                <c:pt idx="1">
                  <c:v>1040</c:v>
                </c:pt>
                <c:pt idx="2">
                  <c:v>1090</c:v>
                </c:pt>
                <c:pt idx="3">
                  <c:v>1250</c:v>
                </c:pt>
                <c:pt idx="4">
                  <c:v>1680</c:v>
                </c:pt>
                <c:pt idx="5">
                  <c:v>1940</c:v>
                </c:pt>
                <c:pt idx="6">
                  <c:v>2130</c:v>
                </c:pt>
                <c:pt idx="7">
                  <c:v>2100</c:v>
                </c:pt>
                <c:pt idx="8">
                  <c:v>1880</c:v>
                </c:pt>
                <c:pt idx="9">
                  <c:v>1710</c:v>
                </c:pt>
                <c:pt idx="10">
                  <c:v>1500</c:v>
                </c:pt>
                <c:pt idx="11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F-41A9-85D1-BCC10379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Fatturato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'fatturato e margini'!$A$9</c:f>
              <c:strCache>
                <c:ptCount val="1"/>
                <c:pt idx="0">
                  <c:v>TOTALE Fatturato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margini'!$C$9:$N$9</c:f>
              <c:numCache>
                <c:formatCode>#,##0</c:formatCode>
                <c:ptCount val="12"/>
                <c:pt idx="0">
                  <c:v>307300</c:v>
                </c:pt>
                <c:pt idx="1">
                  <c:v>290400</c:v>
                </c:pt>
                <c:pt idx="2">
                  <c:v>265900</c:v>
                </c:pt>
                <c:pt idx="3">
                  <c:v>270500</c:v>
                </c:pt>
                <c:pt idx="4">
                  <c:v>304800</c:v>
                </c:pt>
                <c:pt idx="5">
                  <c:v>304400</c:v>
                </c:pt>
                <c:pt idx="6">
                  <c:v>330300</c:v>
                </c:pt>
                <c:pt idx="7">
                  <c:v>417850</c:v>
                </c:pt>
                <c:pt idx="8">
                  <c:v>424800</c:v>
                </c:pt>
                <c:pt idx="9">
                  <c:v>424800</c:v>
                </c:pt>
                <c:pt idx="10">
                  <c:v>417950</c:v>
                </c:pt>
                <c:pt idx="11">
                  <c:v>419950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6-4A76-990F-9B82403EE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'fatturato e margini'!$A$7</c:f>
              <c:strCache>
                <c:ptCount val="1"/>
                <c:pt idx="0">
                  <c:v>fatturato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margini'!$C$7:$N$7</c:f>
              <c:numCache>
                <c:formatCode>#,##0</c:formatCode>
                <c:ptCount val="12"/>
                <c:pt idx="0">
                  <c:v>183000</c:v>
                </c:pt>
                <c:pt idx="1">
                  <c:v>176000</c:v>
                </c:pt>
                <c:pt idx="2">
                  <c:v>146000</c:v>
                </c:pt>
                <c:pt idx="3">
                  <c:v>133000</c:v>
                </c:pt>
                <c:pt idx="4">
                  <c:v>120000</c:v>
                </c:pt>
                <c:pt idx="5">
                  <c:v>91000</c:v>
                </c:pt>
                <c:pt idx="6">
                  <c:v>96000</c:v>
                </c:pt>
                <c:pt idx="7">
                  <c:v>102850</c:v>
                </c:pt>
                <c:pt idx="8">
                  <c:v>142800</c:v>
                </c:pt>
                <c:pt idx="9">
                  <c:v>168300</c:v>
                </c:pt>
                <c:pt idx="10">
                  <c:v>192950</c:v>
                </c:pt>
                <c:pt idx="11">
                  <c:v>209950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6-4A76-990F-9B82403EE509}"/>
            </c:ext>
          </c:extLst>
        </c:ser>
        <c:ser>
          <c:idx val="1"/>
          <c:order val="1"/>
          <c:tx>
            <c:strRef>
              <c:f>'fatturato e margini'!$A$8</c:f>
              <c:strCache>
                <c:ptCount val="1"/>
                <c:pt idx="0">
                  <c:v>fatturato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margini'!$C$8:$N$8</c:f>
              <c:numCache>
                <c:formatCode>#,##0</c:formatCode>
                <c:ptCount val="12"/>
                <c:pt idx="0">
                  <c:v>124300</c:v>
                </c:pt>
                <c:pt idx="1">
                  <c:v>114400</c:v>
                </c:pt>
                <c:pt idx="2">
                  <c:v>119900</c:v>
                </c:pt>
                <c:pt idx="3">
                  <c:v>137500</c:v>
                </c:pt>
                <c:pt idx="4">
                  <c:v>184800</c:v>
                </c:pt>
                <c:pt idx="5">
                  <c:v>213400</c:v>
                </c:pt>
                <c:pt idx="6">
                  <c:v>234300</c:v>
                </c:pt>
                <c:pt idx="7">
                  <c:v>315000</c:v>
                </c:pt>
                <c:pt idx="8">
                  <c:v>282000</c:v>
                </c:pt>
                <c:pt idx="9">
                  <c:v>256500</c:v>
                </c:pt>
                <c:pt idx="10">
                  <c:v>225000</c:v>
                </c:pt>
                <c:pt idx="11">
                  <c:v>210000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6-4A76-990F-9B82403EE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Primo</a:t>
            </a:r>
            <a:r>
              <a:rPr lang="it-IT" baseline="0"/>
              <a:t> </a:t>
            </a:r>
            <a:r>
              <a:rPr lang="it-IT"/>
              <a:t>Margine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'fatturato e margini'!$A$17</c:f>
              <c:strCache>
                <c:ptCount val="1"/>
                <c:pt idx="0">
                  <c:v>TOT primo margine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margini'!$C$17:$N$17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4-43F1-94CA-033C876F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'fatturato e margini'!$A$15</c:f>
              <c:strCache>
                <c:ptCount val="1"/>
                <c:pt idx="0">
                  <c:v>margine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margini'!$C$15:$N$15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4-43F1-94CA-033C876FFF4D}"/>
            </c:ext>
          </c:extLst>
        </c:ser>
        <c:ser>
          <c:idx val="1"/>
          <c:order val="1"/>
          <c:tx>
            <c:strRef>
              <c:f>'fatturato e margini'!$A$16</c:f>
              <c:strCache>
                <c:ptCount val="1"/>
                <c:pt idx="0">
                  <c:v>margine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margini'!$C$16:$N$16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54-43F1-94CA-033C876F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Margine Industriale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'fatturato e margini'!$A$25</c:f>
              <c:strCache>
                <c:ptCount val="1"/>
                <c:pt idx="0">
                  <c:v>TOT margine industriale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margini'!$C$25:$N$25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5-4E1C-8349-20E9E7A82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951519"/>
        <c:axId val="2009962079"/>
      </c:barChart>
      <c:lineChart>
        <c:grouping val="standard"/>
        <c:varyColors val="0"/>
        <c:ser>
          <c:idx val="0"/>
          <c:order val="0"/>
          <c:tx>
            <c:strRef>
              <c:f>'fatturato e margini'!$A$23</c:f>
              <c:strCache>
                <c:ptCount val="1"/>
                <c:pt idx="0">
                  <c:v>margine ind.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margini'!$C$23:$N$23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5-4E1C-8349-20E9E7A822CC}"/>
            </c:ext>
          </c:extLst>
        </c:ser>
        <c:ser>
          <c:idx val="1"/>
          <c:order val="1"/>
          <c:tx>
            <c:strRef>
              <c:f>'fatturato e margini'!$A$24</c:f>
              <c:strCache>
                <c:ptCount val="1"/>
                <c:pt idx="0">
                  <c:v>margine ind.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'fatturato e margini'!$C$2:$N$2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'fatturato e margini'!$C$24:$N$24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35-4E1C-8349-20E9E7A82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951519"/>
        <c:axId val="2009962079"/>
      </c:lineChart>
      <c:catAx>
        <c:axId val="200995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62079"/>
        <c:crosses val="autoZero"/>
        <c:auto val="1"/>
        <c:lblAlgn val="ctr"/>
        <c:lblOffset val="100"/>
        <c:noMultiLvlLbl val="0"/>
      </c:catAx>
      <c:valAx>
        <c:axId val="200996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0995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51709</xdr:colOff>
      <xdr:row>12</xdr:row>
      <xdr:rowOff>174170</xdr:rowOff>
    </xdr:from>
    <xdr:to>
      <xdr:col>6</xdr:col>
      <xdr:colOff>174173</xdr:colOff>
      <xdr:row>24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C89ADF-119E-BAC2-C8A7-1C278C027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255815</xdr:colOff>
      <xdr:row>13</xdr:row>
      <xdr:rowOff>0</xdr:rowOff>
    </xdr:from>
    <xdr:to>
      <xdr:col>11</xdr:col>
      <xdr:colOff>557894</xdr:colOff>
      <xdr:row>24</xdr:row>
      <xdr:rowOff>152402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ECED66-C9E3-4E1A-8ED9-24BBC994C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51709</xdr:colOff>
      <xdr:row>13</xdr:row>
      <xdr:rowOff>157839</xdr:rowOff>
    </xdr:from>
    <xdr:to>
      <xdr:col>6</xdr:col>
      <xdr:colOff>495300</xdr:colOff>
      <xdr:row>27</xdr:row>
      <xdr:rowOff>108857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63EB46-B802-4853-A2F0-1E8CAFB0F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625928</xdr:colOff>
      <xdr:row>13</xdr:row>
      <xdr:rowOff>185056</xdr:rowOff>
    </xdr:from>
    <xdr:to>
      <xdr:col>12</xdr:col>
      <xdr:colOff>443590</xdr:colOff>
      <xdr:row>26</xdr:row>
      <xdr:rowOff>130628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2687BB-91D3-4FFF-8B81-B1AE754C2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51709</xdr:colOff>
      <xdr:row>31</xdr:row>
      <xdr:rowOff>174170</xdr:rowOff>
    </xdr:from>
    <xdr:to>
      <xdr:col>7</xdr:col>
      <xdr:colOff>174173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11C0DF-0C8E-4B4F-AC8D-ADB5F934B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261258</xdr:colOff>
      <xdr:row>32</xdr:row>
      <xdr:rowOff>21770</xdr:rowOff>
    </xdr:from>
    <xdr:to>
      <xdr:col>12</xdr:col>
      <xdr:colOff>563337</xdr:colOff>
      <xdr:row>48</xdr:row>
      <xdr:rowOff>63499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A0B07E-59ED-4631-9616-91A9334F3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689429</xdr:colOff>
      <xdr:row>49</xdr:row>
      <xdr:rowOff>108858</xdr:rowOff>
    </xdr:from>
    <xdr:to>
      <xdr:col>7</xdr:col>
      <xdr:colOff>280308</xdr:colOff>
      <xdr:row>65</xdr:row>
      <xdr:rowOff>166007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D16B5A-5689-4130-AA51-F0E859A48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424542</xdr:colOff>
      <xdr:row>48</xdr:row>
      <xdr:rowOff>141514</xdr:rowOff>
    </xdr:from>
    <xdr:to>
      <xdr:col>13</xdr:col>
      <xdr:colOff>124279</xdr:colOff>
      <xdr:row>69</xdr:row>
      <xdr:rowOff>10886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75690E-BF71-48F2-A76C-CA2C4B2DB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F06C-A893-4EF0-8E7E-ABF1568EC2EC}">
  <dimension ref="A1:U16"/>
  <sheetViews>
    <sheetView zoomScale="140" zoomScaleNormal="140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I8" sqref="I8"/>
    </sheetView>
  </sheetViews>
  <sheetFormatPr defaultRowHeight="14.4" x14ac:dyDescent="0.3"/>
  <cols>
    <col min="1" max="1" width="17.10937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6.33203125" customWidth="1"/>
    <col min="16" max="16" width="12.6640625" bestFit="1" customWidth="1"/>
    <col min="20" max="20" width="9.21875" bestFit="1" customWidth="1"/>
    <col min="21" max="21" width="6.5546875" customWidth="1"/>
  </cols>
  <sheetData>
    <row r="1" spans="1:21" x14ac:dyDescent="0.3">
      <c r="B1" s="115" t="s">
        <v>16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P1" s="115" t="s">
        <v>17</v>
      </c>
      <c r="Q1" s="116"/>
      <c r="R1" s="116"/>
      <c r="S1" s="116"/>
      <c r="T1" s="117"/>
      <c r="U1" s="118" t="s">
        <v>57</v>
      </c>
    </row>
    <row r="2" spans="1:21" x14ac:dyDescent="0.3"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  <c r="P2" s="19" t="s">
        <v>30</v>
      </c>
      <c r="Q2" s="20" t="s">
        <v>31</v>
      </c>
      <c r="R2" s="23" t="s">
        <v>32</v>
      </c>
      <c r="S2" s="21" t="s">
        <v>33</v>
      </c>
      <c r="T2" s="22" t="s">
        <v>1</v>
      </c>
      <c r="U2" s="118"/>
    </row>
    <row r="3" spans="1:21" x14ac:dyDescent="0.3">
      <c r="A3" s="18" t="s">
        <v>48</v>
      </c>
      <c r="B3" s="18">
        <v>1830</v>
      </c>
      <c r="C3" s="18">
        <v>1760</v>
      </c>
      <c r="D3" s="18">
        <v>1460</v>
      </c>
      <c r="E3" s="18">
        <v>1330</v>
      </c>
      <c r="F3" s="18">
        <v>1200</v>
      </c>
      <c r="G3" s="18">
        <v>910</v>
      </c>
      <c r="H3" s="18">
        <v>960</v>
      </c>
      <c r="I3" s="18">
        <v>1210</v>
      </c>
      <c r="J3" s="18">
        <v>1680</v>
      </c>
      <c r="K3" s="18">
        <v>1980</v>
      </c>
      <c r="L3" s="18">
        <v>2270</v>
      </c>
      <c r="M3" s="18">
        <v>2470</v>
      </c>
      <c r="N3" s="18">
        <f>+SUM(B3:M3)</f>
        <v>19060</v>
      </c>
      <c r="O3" s="13">
        <f>+N3/N5</f>
        <v>0.50276971775257184</v>
      </c>
      <c r="P3" s="18">
        <v>5340</v>
      </c>
      <c r="Q3" s="18">
        <v>3890</v>
      </c>
      <c r="R3" s="18">
        <v>4270</v>
      </c>
      <c r="S3" s="18">
        <v>7010</v>
      </c>
      <c r="T3" s="18">
        <f>+SUM(P3:S3)</f>
        <v>20510</v>
      </c>
      <c r="U3" s="13">
        <f>+T3/N3-1</f>
        <v>7.6075550891920196E-2</v>
      </c>
    </row>
    <row r="4" spans="1:21" x14ac:dyDescent="0.3">
      <c r="A4" s="18" t="s">
        <v>49</v>
      </c>
      <c r="B4" s="18">
        <v>1130</v>
      </c>
      <c r="C4" s="18">
        <v>1040</v>
      </c>
      <c r="D4" s="18">
        <v>1090</v>
      </c>
      <c r="E4" s="18">
        <v>1250</v>
      </c>
      <c r="F4" s="18">
        <v>1680</v>
      </c>
      <c r="G4" s="18">
        <v>1940</v>
      </c>
      <c r="H4" s="18">
        <v>2130</v>
      </c>
      <c r="I4" s="18">
        <v>2100</v>
      </c>
      <c r="J4" s="18">
        <v>1880</v>
      </c>
      <c r="K4" s="18">
        <v>1710</v>
      </c>
      <c r="L4" s="18">
        <v>1500</v>
      </c>
      <c r="M4" s="18">
        <v>1400</v>
      </c>
      <c r="N4" s="18">
        <f>+SUM(B4:M4)</f>
        <v>18850</v>
      </c>
      <c r="O4" s="13">
        <f>+N4/N5</f>
        <v>0.4972302822474281</v>
      </c>
      <c r="P4" s="18">
        <v>3030</v>
      </c>
      <c r="Q4" s="18">
        <v>4380</v>
      </c>
      <c r="R4" s="18">
        <v>5830</v>
      </c>
      <c r="S4" s="18">
        <v>4560</v>
      </c>
      <c r="T4" s="18">
        <f>+SUM(P4:S4)</f>
        <v>17800</v>
      </c>
      <c r="U4" s="13">
        <f>+T4/N4-1</f>
        <v>-5.5702917771883298E-2</v>
      </c>
    </row>
    <row r="5" spans="1:21" x14ac:dyDescent="0.3">
      <c r="A5" s="18" t="s">
        <v>44</v>
      </c>
      <c r="B5" s="18">
        <f>+B3+B4</f>
        <v>2960</v>
      </c>
      <c r="C5" s="18">
        <f t="shared" ref="C5:M5" si="0">+C3+C4</f>
        <v>2800</v>
      </c>
      <c r="D5" s="18">
        <f t="shared" si="0"/>
        <v>2550</v>
      </c>
      <c r="E5" s="18">
        <f t="shared" si="0"/>
        <v>2580</v>
      </c>
      <c r="F5" s="18">
        <f t="shared" si="0"/>
        <v>2880</v>
      </c>
      <c r="G5" s="18">
        <f t="shared" si="0"/>
        <v>2850</v>
      </c>
      <c r="H5" s="18">
        <f t="shared" si="0"/>
        <v>3090</v>
      </c>
      <c r="I5" s="18">
        <f t="shared" si="0"/>
        <v>3310</v>
      </c>
      <c r="J5" s="18">
        <f t="shared" si="0"/>
        <v>3560</v>
      </c>
      <c r="K5" s="18">
        <f t="shared" si="0"/>
        <v>3690</v>
      </c>
      <c r="L5" s="18">
        <f t="shared" si="0"/>
        <v>3770</v>
      </c>
      <c r="M5" s="18">
        <f t="shared" si="0"/>
        <v>3870</v>
      </c>
      <c r="N5" s="18">
        <f>+SUM(B5:M5)</f>
        <v>37910</v>
      </c>
      <c r="O5" s="13">
        <f>+N5/N5</f>
        <v>1</v>
      </c>
      <c r="P5" s="18">
        <f>+P3+P4</f>
        <v>8370</v>
      </c>
      <c r="Q5" s="18">
        <f>+Q3+Q4</f>
        <v>8270</v>
      </c>
      <c r="R5" s="18">
        <f>+R3+R4</f>
        <v>10100</v>
      </c>
      <c r="S5" s="18">
        <f>+S3+S4</f>
        <v>11570</v>
      </c>
      <c r="T5" s="18">
        <f>+T3+T4</f>
        <v>38310</v>
      </c>
      <c r="U5" s="13">
        <f>+T5/N5-1</f>
        <v>1.055130572408336E-2</v>
      </c>
    </row>
    <row r="7" spans="1:21" x14ac:dyDescent="0.3">
      <c r="A7" s="18" t="s">
        <v>45</v>
      </c>
      <c r="B7" s="18">
        <v>100</v>
      </c>
      <c r="C7" s="18">
        <v>100</v>
      </c>
      <c r="D7" s="18">
        <v>100</v>
      </c>
      <c r="E7" s="18">
        <v>100</v>
      </c>
      <c r="F7" s="18">
        <v>100</v>
      </c>
      <c r="G7" s="18">
        <v>100</v>
      </c>
      <c r="H7" s="18">
        <v>100</v>
      </c>
      <c r="I7" s="18">
        <v>85</v>
      </c>
      <c r="J7" s="18">
        <v>85</v>
      </c>
      <c r="K7" s="18">
        <v>85</v>
      </c>
      <c r="L7" s="18">
        <v>85</v>
      </c>
      <c r="M7" s="18">
        <v>85</v>
      </c>
      <c r="T7" s="18">
        <v>90</v>
      </c>
    </row>
    <row r="8" spans="1:21" x14ac:dyDescent="0.3">
      <c r="A8" s="18" t="s">
        <v>46</v>
      </c>
      <c r="B8" s="18">
        <v>110</v>
      </c>
      <c r="C8" s="18">
        <v>110</v>
      </c>
      <c r="D8" s="18">
        <v>110</v>
      </c>
      <c r="E8" s="18">
        <v>110</v>
      </c>
      <c r="F8" s="18">
        <v>110</v>
      </c>
      <c r="G8" s="18">
        <v>110</v>
      </c>
      <c r="H8" s="18">
        <v>110</v>
      </c>
      <c r="I8" s="18">
        <v>150</v>
      </c>
      <c r="J8" s="18">
        <v>150</v>
      </c>
      <c r="K8" s="18">
        <v>150</v>
      </c>
      <c r="L8" s="18">
        <v>150</v>
      </c>
      <c r="M8" s="18">
        <v>150</v>
      </c>
      <c r="T8" s="18">
        <v>150</v>
      </c>
    </row>
    <row r="10" spans="1:21" x14ac:dyDescent="0.3">
      <c r="A10" s="18" t="s">
        <v>50</v>
      </c>
      <c r="B10" s="18">
        <f>+B3*B7</f>
        <v>183000</v>
      </c>
      <c r="C10" s="18">
        <f t="shared" ref="C10:M10" si="1">+C3*C7</f>
        <v>176000</v>
      </c>
      <c r="D10" s="18">
        <f t="shared" si="1"/>
        <v>146000</v>
      </c>
      <c r="E10" s="18">
        <f t="shared" si="1"/>
        <v>133000</v>
      </c>
      <c r="F10" s="18">
        <f t="shared" si="1"/>
        <v>120000</v>
      </c>
      <c r="G10" s="18">
        <f t="shared" si="1"/>
        <v>91000</v>
      </c>
      <c r="H10" s="18">
        <f t="shared" si="1"/>
        <v>96000</v>
      </c>
      <c r="I10" s="18">
        <f t="shared" si="1"/>
        <v>102850</v>
      </c>
      <c r="J10" s="18">
        <f t="shared" si="1"/>
        <v>142800</v>
      </c>
      <c r="K10" s="18">
        <f t="shared" si="1"/>
        <v>168300</v>
      </c>
      <c r="L10" s="18">
        <f t="shared" si="1"/>
        <v>192950</v>
      </c>
      <c r="M10" s="18">
        <f t="shared" si="1"/>
        <v>209950</v>
      </c>
      <c r="N10" s="18">
        <f>+SUM(B10:M10)</f>
        <v>1761850</v>
      </c>
      <c r="O10" s="13">
        <f>+N10/N12</f>
        <v>0.4216011198985391</v>
      </c>
      <c r="T10" s="18">
        <f>+T3*T7</f>
        <v>1845900</v>
      </c>
      <c r="U10" s="13">
        <f>+T10/N10-1</f>
        <v>4.7705536793711145E-2</v>
      </c>
    </row>
    <row r="11" spans="1:21" x14ac:dyDescent="0.3">
      <c r="A11" s="18" t="s">
        <v>51</v>
      </c>
      <c r="B11" s="18">
        <f t="shared" ref="B11:M11" si="2">+B4*B8</f>
        <v>124300</v>
      </c>
      <c r="C11" s="18">
        <f t="shared" si="2"/>
        <v>114400</v>
      </c>
      <c r="D11" s="18">
        <f t="shared" si="2"/>
        <v>119900</v>
      </c>
      <c r="E11" s="18">
        <f t="shared" si="2"/>
        <v>137500</v>
      </c>
      <c r="F11" s="18">
        <f t="shared" si="2"/>
        <v>184800</v>
      </c>
      <c r="G11" s="18">
        <f t="shared" si="2"/>
        <v>213400</v>
      </c>
      <c r="H11" s="18">
        <f t="shared" si="2"/>
        <v>234300</v>
      </c>
      <c r="I11" s="18">
        <f t="shared" si="2"/>
        <v>315000</v>
      </c>
      <c r="J11" s="18">
        <f t="shared" si="2"/>
        <v>282000</v>
      </c>
      <c r="K11" s="18">
        <f t="shared" si="2"/>
        <v>256500</v>
      </c>
      <c r="L11" s="18">
        <f t="shared" si="2"/>
        <v>225000</v>
      </c>
      <c r="M11" s="18">
        <f t="shared" si="2"/>
        <v>210000</v>
      </c>
      <c r="N11" s="18">
        <f>+SUM(B11:M11)</f>
        <v>2417100</v>
      </c>
      <c r="O11" s="13">
        <f>+N11/N12</f>
        <v>0.5783988801014609</v>
      </c>
      <c r="T11" s="18">
        <f>+T4*T8</f>
        <v>2670000</v>
      </c>
      <c r="U11" s="13">
        <f>+T11/N11-1</f>
        <v>0.10462951470770765</v>
      </c>
    </row>
    <row r="12" spans="1:21" x14ac:dyDescent="0.3">
      <c r="A12" s="18" t="s">
        <v>47</v>
      </c>
      <c r="B12" s="18">
        <f t="shared" ref="B12:M12" si="3">+B10+B11</f>
        <v>307300</v>
      </c>
      <c r="C12" s="18">
        <f t="shared" si="3"/>
        <v>290400</v>
      </c>
      <c r="D12" s="18">
        <f t="shared" si="3"/>
        <v>265900</v>
      </c>
      <c r="E12" s="18">
        <f t="shared" si="3"/>
        <v>270500</v>
      </c>
      <c r="F12" s="18">
        <f t="shared" si="3"/>
        <v>304800</v>
      </c>
      <c r="G12" s="18">
        <f t="shared" si="3"/>
        <v>304400</v>
      </c>
      <c r="H12" s="18">
        <f t="shared" si="3"/>
        <v>330300</v>
      </c>
      <c r="I12" s="18">
        <f t="shared" si="3"/>
        <v>417850</v>
      </c>
      <c r="J12" s="18">
        <f t="shared" si="3"/>
        <v>424800</v>
      </c>
      <c r="K12" s="18">
        <f t="shared" si="3"/>
        <v>424800</v>
      </c>
      <c r="L12" s="18">
        <f t="shared" si="3"/>
        <v>417950</v>
      </c>
      <c r="M12" s="18">
        <f t="shared" si="3"/>
        <v>419950</v>
      </c>
      <c r="N12" s="18">
        <f>+SUM(B12:M12)</f>
        <v>4178950</v>
      </c>
      <c r="O12" s="13">
        <f>+N12/N12</f>
        <v>1</v>
      </c>
      <c r="T12" s="18">
        <f>+T10+T11</f>
        <v>4515900</v>
      </c>
      <c r="U12" s="13">
        <f>+T12/N12-1</f>
        <v>8.0630301870086907E-2</v>
      </c>
    </row>
    <row r="14" spans="1:21" ht="43.2" x14ac:dyDescent="0.3">
      <c r="A14" s="111" t="s">
        <v>150</v>
      </c>
    </row>
    <row r="16" spans="1:21" ht="43.2" x14ac:dyDescent="0.3">
      <c r="A16" s="111" t="s">
        <v>151</v>
      </c>
    </row>
  </sheetData>
  <mergeCells count="3">
    <mergeCell ref="B1:N1"/>
    <mergeCell ref="P1:T1"/>
    <mergeCell ref="U1:U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50E9-E684-4032-AB1A-9ACED75701E6}">
  <dimension ref="A1:V33"/>
  <sheetViews>
    <sheetView zoomScale="70" zoomScaleNormal="70" workbookViewId="0">
      <pane xSplit="1" ySplit="2" topLeftCell="B15" activePane="bottomRight" state="frozen"/>
      <selection pane="topRight" activeCell="E1" sqref="E1"/>
      <selection pane="bottomLeft" activeCell="A3" sqref="A3"/>
      <selection pane="bottomRight" activeCell="C15" sqref="C15"/>
    </sheetView>
  </sheetViews>
  <sheetFormatPr defaultRowHeight="14.4" x14ac:dyDescent="0.3"/>
  <cols>
    <col min="1" max="1" width="17.109375" style="18" bestFit="1" customWidth="1"/>
    <col min="2" max="2" width="10.5546875" style="18" customWidth="1"/>
    <col min="3" max="7" width="9.109375" style="18" bestFit="1" customWidth="1"/>
    <col min="8" max="14" width="9.109375" bestFit="1" customWidth="1"/>
    <col min="15" max="15" width="10.109375" bestFit="1" customWidth="1"/>
    <col min="16" max="16" width="3.21875" customWidth="1"/>
    <col min="17" max="17" width="12.6640625" bestFit="1" customWidth="1"/>
    <col min="21" max="21" width="9.21875" bestFit="1" customWidth="1"/>
    <col min="22" max="22" width="6.5546875" customWidth="1"/>
  </cols>
  <sheetData>
    <row r="1" spans="1:22" x14ac:dyDescent="0.3">
      <c r="C1" s="115" t="s">
        <v>16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Q1" s="115" t="s">
        <v>17</v>
      </c>
      <c r="R1" s="116"/>
      <c r="S1" s="116"/>
      <c r="T1" s="116"/>
      <c r="U1" s="117"/>
      <c r="V1" s="118" t="s">
        <v>57</v>
      </c>
    </row>
    <row r="2" spans="1:22" x14ac:dyDescent="0.3">
      <c r="B2" s="18" t="s">
        <v>192</v>
      </c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  <c r="V2" s="118"/>
    </row>
    <row r="3" spans="1:22" x14ac:dyDescent="0.3">
      <c r="A3" s="18" t="s">
        <v>48</v>
      </c>
      <c r="C3" s="18">
        <f>+'budget vendite'!B3</f>
        <v>1830</v>
      </c>
      <c r="D3" s="18">
        <f>+'budget vendite'!C3</f>
        <v>1760</v>
      </c>
      <c r="E3" s="18">
        <f>+'budget vendite'!D3</f>
        <v>1460</v>
      </c>
      <c r="F3" s="18">
        <f>+'budget vendite'!E3</f>
        <v>1330</v>
      </c>
      <c r="G3" s="18">
        <f>+'budget vendite'!F3</f>
        <v>1200</v>
      </c>
      <c r="H3" s="18">
        <f>+'budget vendite'!G3</f>
        <v>910</v>
      </c>
      <c r="I3" s="18">
        <f>+'budget vendite'!H3</f>
        <v>960</v>
      </c>
      <c r="J3" s="18">
        <f>+'budget vendite'!I3</f>
        <v>1210</v>
      </c>
      <c r="K3" s="18">
        <f>+'budget vendite'!J3</f>
        <v>1680</v>
      </c>
      <c r="L3" s="18">
        <f>+'budget vendite'!K3</f>
        <v>1980</v>
      </c>
      <c r="M3" s="18">
        <f>+'budget vendite'!L3</f>
        <v>2270</v>
      </c>
      <c r="N3" s="18">
        <f>+'budget vendite'!M3</f>
        <v>2470</v>
      </c>
      <c r="O3" s="18">
        <f>+SUM(C3:N3)</f>
        <v>19060</v>
      </c>
      <c r="Q3" s="18">
        <f>+'budget vendite'!P3</f>
        <v>5340</v>
      </c>
      <c r="R3" s="18">
        <f>+'budget vendite'!Q3</f>
        <v>3890</v>
      </c>
      <c r="S3" s="18">
        <f>+'budget vendite'!R3</f>
        <v>4270</v>
      </c>
      <c r="T3" s="18">
        <f>+'budget vendite'!S3</f>
        <v>7010</v>
      </c>
      <c r="U3" s="18">
        <f>+SUM(Q3:T3)</f>
        <v>20510</v>
      </c>
      <c r="V3" s="13">
        <f>+U3/O3-1</f>
        <v>7.6075550891920196E-2</v>
      </c>
    </row>
    <row r="4" spans="1:22" x14ac:dyDescent="0.3">
      <c r="A4" s="18" t="s">
        <v>49</v>
      </c>
      <c r="C4" s="18">
        <f>+'budget vendite'!B4</f>
        <v>1130</v>
      </c>
      <c r="D4" s="18">
        <f>+'budget vendite'!C4</f>
        <v>1040</v>
      </c>
      <c r="E4" s="18">
        <f>+'budget vendite'!D4</f>
        <v>1090</v>
      </c>
      <c r="F4" s="18">
        <f>+'budget vendite'!E4</f>
        <v>1250</v>
      </c>
      <c r="G4" s="18">
        <f>+'budget vendite'!F4</f>
        <v>1680</v>
      </c>
      <c r="H4" s="18">
        <f>+'budget vendite'!G4</f>
        <v>1940</v>
      </c>
      <c r="I4" s="18">
        <f>+'budget vendite'!H4</f>
        <v>2130</v>
      </c>
      <c r="J4" s="18">
        <f>+'budget vendite'!I4</f>
        <v>2100</v>
      </c>
      <c r="K4" s="18">
        <f>+'budget vendite'!J4</f>
        <v>1880</v>
      </c>
      <c r="L4" s="18">
        <f>+'budget vendite'!K4</f>
        <v>1710</v>
      </c>
      <c r="M4" s="18">
        <f>+'budget vendite'!L4</f>
        <v>1500</v>
      </c>
      <c r="N4" s="18">
        <f>+'budget vendite'!M4</f>
        <v>1400</v>
      </c>
      <c r="O4" s="18">
        <f>+SUM(C4:N4)</f>
        <v>18850</v>
      </c>
      <c r="Q4" s="18">
        <f>+'budget vendite'!P4</f>
        <v>3030</v>
      </c>
      <c r="R4" s="18">
        <f>+'budget vendite'!Q4</f>
        <v>4380</v>
      </c>
      <c r="S4" s="18">
        <f>+'budget vendite'!R4</f>
        <v>5830</v>
      </c>
      <c r="T4" s="18">
        <f>+'budget vendite'!S4</f>
        <v>4560</v>
      </c>
      <c r="U4" s="18">
        <f>+SUM(Q4:T4)</f>
        <v>17800</v>
      </c>
      <c r="V4" s="13">
        <f>+U4/O4-1</f>
        <v>-5.5702917771883298E-2</v>
      </c>
    </row>
    <row r="5" spans="1:22" x14ac:dyDescent="0.3">
      <c r="A5" s="18" t="s">
        <v>44</v>
      </c>
      <c r="C5" s="18">
        <f>+C3+C4</f>
        <v>2960</v>
      </c>
      <c r="D5" s="18">
        <f t="shared" ref="D5:N5" si="0">+D3+D4</f>
        <v>2800</v>
      </c>
      <c r="E5" s="18">
        <f t="shared" si="0"/>
        <v>2550</v>
      </c>
      <c r="F5" s="18">
        <f t="shared" si="0"/>
        <v>2580</v>
      </c>
      <c r="G5" s="18">
        <f t="shared" si="0"/>
        <v>2880</v>
      </c>
      <c r="H5" s="18">
        <f t="shared" si="0"/>
        <v>2850</v>
      </c>
      <c r="I5" s="18">
        <f t="shared" si="0"/>
        <v>3090</v>
      </c>
      <c r="J5" s="18">
        <f t="shared" si="0"/>
        <v>3310</v>
      </c>
      <c r="K5" s="18">
        <f t="shared" si="0"/>
        <v>3560</v>
      </c>
      <c r="L5" s="18">
        <f t="shared" si="0"/>
        <v>3690</v>
      </c>
      <c r="M5" s="18">
        <f t="shared" si="0"/>
        <v>3770</v>
      </c>
      <c r="N5" s="18">
        <f t="shared" si="0"/>
        <v>3870</v>
      </c>
      <c r="O5" s="18">
        <f>+SUM(C5:N5)</f>
        <v>37910</v>
      </c>
      <c r="Q5" s="18">
        <f>+Q3+Q4</f>
        <v>8370</v>
      </c>
      <c r="R5" s="18">
        <f>+R3+R4</f>
        <v>8270</v>
      </c>
      <c r="S5" s="18">
        <f>+S3+S4</f>
        <v>10100</v>
      </c>
      <c r="T5" s="18">
        <f>+T3+T4</f>
        <v>11570</v>
      </c>
      <c r="U5" s="18">
        <f>+U3+U4</f>
        <v>38310</v>
      </c>
      <c r="V5" s="13">
        <f>+U5/O5-1</f>
        <v>1.055130572408336E-2</v>
      </c>
    </row>
    <row r="7" spans="1:22" x14ac:dyDescent="0.3">
      <c r="A7" s="18" t="s">
        <v>50</v>
      </c>
      <c r="C7" s="18">
        <f>+'budget vendite'!B10</f>
        <v>183000</v>
      </c>
      <c r="D7" s="18">
        <f>+'budget vendite'!C10</f>
        <v>176000</v>
      </c>
      <c r="E7" s="18">
        <f>+'budget vendite'!D10</f>
        <v>146000</v>
      </c>
      <c r="F7" s="18">
        <f>+'budget vendite'!E10</f>
        <v>133000</v>
      </c>
      <c r="G7" s="18">
        <f>+'budget vendite'!F10</f>
        <v>120000</v>
      </c>
      <c r="H7" s="18">
        <f>+'budget vendite'!G10</f>
        <v>91000</v>
      </c>
      <c r="I7" s="18">
        <f>+'budget vendite'!H10</f>
        <v>96000</v>
      </c>
      <c r="J7" s="18">
        <f>+'budget vendite'!I10</f>
        <v>102850</v>
      </c>
      <c r="K7" s="18">
        <f>+'budget vendite'!J10</f>
        <v>142800</v>
      </c>
      <c r="L7" s="18">
        <f>+'budget vendite'!K10</f>
        <v>168300</v>
      </c>
      <c r="M7" s="18">
        <f>+'budget vendite'!L10</f>
        <v>192950</v>
      </c>
      <c r="N7" s="18">
        <f>+'budget vendite'!M10</f>
        <v>209950</v>
      </c>
      <c r="O7" s="18">
        <f>+SUM(C7:N7)</f>
        <v>1761850</v>
      </c>
      <c r="U7" s="18">
        <f>+'budget vendite'!T10</f>
        <v>1845900</v>
      </c>
      <c r="V7" s="13">
        <f>+U7/O7-1</f>
        <v>4.7705536793711145E-2</v>
      </c>
    </row>
    <row r="8" spans="1:22" x14ac:dyDescent="0.3">
      <c r="A8" s="18" t="s">
        <v>51</v>
      </c>
      <c r="C8" s="18">
        <f>+'budget vendite'!B11</f>
        <v>124300</v>
      </c>
      <c r="D8" s="18">
        <f>+'budget vendite'!C11</f>
        <v>114400</v>
      </c>
      <c r="E8" s="18">
        <f>+'budget vendite'!D11</f>
        <v>119900</v>
      </c>
      <c r="F8" s="18">
        <f>+'budget vendite'!E11</f>
        <v>137500</v>
      </c>
      <c r="G8" s="18">
        <f>+'budget vendite'!F11</f>
        <v>184800</v>
      </c>
      <c r="H8" s="18">
        <f>+'budget vendite'!G11</f>
        <v>213400</v>
      </c>
      <c r="I8" s="18">
        <f>+'budget vendite'!H11</f>
        <v>234300</v>
      </c>
      <c r="J8" s="18">
        <f>+'budget vendite'!I11</f>
        <v>315000</v>
      </c>
      <c r="K8" s="18">
        <f>+'budget vendite'!J11</f>
        <v>282000</v>
      </c>
      <c r="L8" s="18">
        <f>+'budget vendite'!K11</f>
        <v>256500</v>
      </c>
      <c r="M8" s="18">
        <f>+'budget vendite'!L11</f>
        <v>225000</v>
      </c>
      <c r="N8" s="18">
        <f>+'budget vendite'!M11</f>
        <v>210000</v>
      </c>
      <c r="O8" s="18">
        <f>+SUM(C8:N8)</f>
        <v>2417100</v>
      </c>
      <c r="U8" s="18">
        <f>+'budget vendite'!T11</f>
        <v>2670000</v>
      </c>
      <c r="V8" s="13">
        <f>+U8/O8-1</f>
        <v>0.10462951470770765</v>
      </c>
    </row>
    <row r="9" spans="1:22" x14ac:dyDescent="0.3">
      <c r="A9" s="18" t="s">
        <v>47</v>
      </c>
      <c r="C9" s="18">
        <f>+C7+C8</f>
        <v>307300</v>
      </c>
      <c r="D9" s="18">
        <f t="shared" ref="D9:N9" si="1">+D7+D8</f>
        <v>290400</v>
      </c>
      <c r="E9" s="18">
        <f t="shared" si="1"/>
        <v>265900</v>
      </c>
      <c r="F9" s="18">
        <f t="shared" si="1"/>
        <v>270500</v>
      </c>
      <c r="G9" s="18">
        <f t="shared" si="1"/>
        <v>304800</v>
      </c>
      <c r="H9" s="18">
        <f t="shared" si="1"/>
        <v>304400</v>
      </c>
      <c r="I9" s="18">
        <f t="shared" si="1"/>
        <v>330300</v>
      </c>
      <c r="J9" s="18">
        <f t="shared" si="1"/>
        <v>417850</v>
      </c>
      <c r="K9" s="18">
        <f t="shared" si="1"/>
        <v>424800</v>
      </c>
      <c r="L9" s="18">
        <f t="shared" si="1"/>
        <v>424800</v>
      </c>
      <c r="M9" s="18">
        <f t="shared" si="1"/>
        <v>417950</v>
      </c>
      <c r="N9" s="18">
        <f t="shared" si="1"/>
        <v>419950</v>
      </c>
      <c r="O9" s="18">
        <f>+SUM(C9:N9)</f>
        <v>4178950</v>
      </c>
      <c r="U9" s="18">
        <f t="shared" ref="U9" si="2">+U7+U8</f>
        <v>4515900</v>
      </c>
      <c r="V9" s="13">
        <f>+U9/O9-1</f>
        <v>8.0630301870086907E-2</v>
      </c>
    </row>
    <row r="10" spans="1:22" x14ac:dyDescent="0.3">
      <c r="B10" s="18" t="s">
        <v>191</v>
      </c>
      <c r="H10" s="18"/>
      <c r="I10" s="18"/>
      <c r="J10" s="18"/>
      <c r="K10" s="18"/>
      <c r="L10" s="18"/>
      <c r="M10" s="18"/>
      <c r="N10" s="18"/>
      <c r="O10" s="18"/>
      <c r="U10" s="18"/>
      <c r="V10" s="13"/>
    </row>
    <row r="11" spans="1:22" x14ac:dyDescent="0.3">
      <c r="A11" s="18" t="s">
        <v>153</v>
      </c>
      <c r="B11" s="18" t="e">
        <f>+'costo primo e margini'!N11</f>
        <v>#DIV/0!</v>
      </c>
      <c r="C11" s="114" t="e">
        <f>+C3*$B11</f>
        <v>#DIV/0!</v>
      </c>
      <c r="D11" s="114" t="e">
        <f t="shared" ref="D11:N11" si="3">+D3*$B11</f>
        <v>#DIV/0!</v>
      </c>
      <c r="E11" s="114" t="e">
        <f t="shared" si="3"/>
        <v>#DIV/0!</v>
      </c>
      <c r="F11" s="114" t="e">
        <f t="shared" si="3"/>
        <v>#DIV/0!</v>
      </c>
      <c r="G11" s="114" t="e">
        <f t="shared" si="3"/>
        <v>#DIV/0!</v>
      </c>
      <c r="H11" s="114" t="e">
        <f t="shared" si="3"/>
        <v>#DIV/0!</v>
      </c>
      <c r="I11" s="114" t="e">
        <f t="shared" si="3"/>
        <v>#DIV/0!</v>
      </c>
      <c r="J11" s="114" t="e">
        <f t="shared" si="3"/>
        <v>#DIV/0!</v>
      </c>
      <c r="K11" s="114" t="e">
        <f t="shared" si="3"/>
        <v>#DIV/0!</v>
      </c>
      <c r="L11" s="114" t="e">
        <f t="shared" si="3"/>
        <v>#DIV/0!</v>
      </c>
      <c r="M11" s="114" t="e">
        <f t="shared" si="3"/>
        <v>#DIV/0!</v>
      </c>
      <c r="N11" s="114" t="e">
        <f t="shared" si="3"/>
        <v>#DIV/0!</v>
      </c>
      <c r="O11" s="18" t="e">
        <f t="shared" ref="O11:O12" si="4">+SUM(C11:N11)</f>
        <v>#DIV/0!</v>
      </c>
      <c r="U11" s="18"/>
      <c r="V11" s="13"/>
    </row>
    <row r="12" spans="1:22" x14ac:dyDescent="0.3">
      <c r="A12" s="18" t="s">
        <v>154</v>
      </c>
      <c r="B12" s="18" t="e">
        <f>+'costo primo e margini'!N19</f>
        <v>#DIV/0!</v>
      </c>
      <c r="C12" s="114" t="e">
        <f t="shared" ref="C12:N12" si="5">+C4*$B12</f>
        <v>#DIV/0!</v>
      </c>
      <c r="D12" s="114" t="e">
        <f t="shared" si="5"/>
        <v>#DIV/0!</v>
      </c>
      <c r="E12" s="114" t="e">
        <f t="shared" si="5"/>
        <v>#DIV/0!</v>
      </c>
      <c r="F12" s="114" t="e">
        <f t="shared" si="5"/>
        <v>#DIV/0!</v>
      </c>
      <c r="G12" s="114" t="e">
        <f t="shared" si="5"/>
        <v>#DIV/0!</v>
      </c>
      <c r="H12" s="114" t="e">
        <f t="shared" si="5"/>
        <v>#DIV/0!</v>
      </c>
      <c r="I12" s="114" t="e">
        <f t="shared" si="5"/>
        <v>#DIV/0!</v>
      </c>
      <c r="J12" s="114" t="e">
        <f t="shared" si="5"/>
        <v>#DIV/0!</v>
      </c>
      <c r="K12" s="114" t="e">
        <f t="shared" si="5"/>
        <v>#DIV/0!</v>
      </c>
      <c r="L12" s="114" t="e">
        <f t="shared" si="5"/>
        <v>#DIV/0!</v>
      </c>
      <c r="M12" s="114" t="e">
        <f t="shared" si="5"/>
        <v>#DIV/0!</v>
      </c>
      <c r="N12" s="114" t="e">
        <f t="shared" si="5"/>
        <v>#DIV/0!</v>
      </c>
      <c r="O12" s="18" t="e">
        <f t="shared" si="4"/>
        <v>#DIV/0!</v>
      </c>
      <c r="U12" s="18"/>
      <c r="V12" s="13"/>
    </row>
    <row r="13" spans="1:22" x14ac:dyDescent="0.3">
      <c r="A13" s="18" t="s">
        <v>155</v>
      </c>
      <c r="C13" s="18" t="e">
        <f>+C11+C12</f>
        <v>#DIV/0!</v>
      </c>
      <c r="D13" s="18" t="e">
        <f t="shared" ref="D13:N13" si="6">+D11+D12</f>
        <v>#DIV/0!</v>
      </c>
      <c r="E13" s="18" t="e">
        <f t="shared" si="6"/>
        <v>#DIV/0!</v>
      </c>
      <c r="F13" s="18" t="e">
        <f t="shared" si="6"/>
        <v>#DIV/0!</v>
      </c>
      <c r="G13" s="18" t="e">
        <f t="shared" si="6"/>
        <v>#DIV/0!</v>
      </c>
      <c r="H13" s="18" t="e">
        <f t="shared" si="6"/>
        <v>#DIV/0!</v>
      </c>
      <c r="I13" s="18" t="e">
        <f t="shared" si="6"/>
        <v>#DIV/0!</v>
      </c>
      <c r="J13" s="18" t="e">
        <f t="shared" si="6"/>
        <v>#DIV/0!</v>
      </c>
      <c r="K13" s="18" t="e">
        <f t="shared" si="6"/>
        <v>#DIV/0!</v>
      </c>
      <c r="L13" s="18" t="e">
        <f t="shared" si="6"/>
        <v>#DIV/0!</v>
      </c>
      <c r="M13" s="18" t="e">
        <f t="shared" si="6"/>
        <v>#DIV/0!</v>
      </c>
      <c r="N13" s="18" t="e">
        <f t="shared" si="6"/>
        <v>#DIV/0!</v>
      </c>
      <c r="O13" s="18" t="e">
        <f>+SUM(C13:N13)</f>
        <v>#DIV/0!</v>
      </c>
      <c r="U13" s="18"/>
      <c r="V13" s="13"/>
    </row>
    <row r="14" spans="1:22" x14ac:dyDescent="0.3">
      <c r="H14" s="18"/>
      <c r="I14" s="18"/>
      <c r="J14" s="18"/>
      <c r="K14" s="18"/>
      <c r="L14" s="18"/>
      <c r="M14" s="18"/>
      <c r="N14" s="18"/>
      <c r="O14" s="18"/>
      <c r="U14" s="18"/>
      <c r="V14" s="13"/>
    </row>
    <row r="15" spans="1:22" x14ac:dyDescent="0.3">
      <c r="A15" s="18" t="s">
        <v>136</v>
      </c>
      <c r="C15" s="18" t="e">
        <f>+C7-C11</f>
        <v>#DIV/0!</v>
      </c>
      <c r="D15" s="18" t="e">
        <f t="shared" ref="D15:N15" si="7">+D7-D11</f>
        <v>#DIV/0!</v>
      </c>
      <c r="E15" s="18" t="e">
        <f t="shared" si="7"/>
        <v>#DIV/0!</v>
      </c>
      <c r="F15" s="18" t="e">
        <f t="shared" si="7"/>
        <v>#DIV/0!</v>
      </c>
      <c r="G15" s="18" t="e">
        <f t="shared" si="7"/>
        <v>#DIV/0!</v>
      </c>
      <c r="H15" s="18" t="e">
        <f t="shared" si="7"/>
        <v>#DIV/0!</v>
      </c>
      <c r="I15" s="18" t="e">
        <f t="shared" si="7"/>
        <v>#DIV/0!</v>
      </c>
      <c r="J15" s="18" t="e">
        <f t="shared" si="7"/>
        <v>#DIV/0!</v>
      </c>
      <c r="K15" s="18" t="e">
        <f t="shared" si="7"/>
        <v>#DIV/0!</v>
      </c>
      <c r="L15" s="18" t="e">
        <f t="shared" si="7"/>
        <v>#DIV/0!</v>
      </c>
      <c r="M15" s="18" t="e">
        <f t="shared" si="7"/>
        <v>#DIV/0!</v>
      </c>
      <c r="N15" s="18" t="e">
        <f t="shared" si="7"/>
        <v>#DIV/0!</v>
      </c>
      <c r="O15" s="18" t="e">
        <f t="shared" ref="O15:O16" si="8">+SUM(C15:N15)</f>
        <v>#DIV/0!</v>
      </c>
      <c r="U15" s="18"/>
      <c r="V15" s="13"/>
    </row>
    <row r="16" spans="1:22" x14ac:dyDescent="0.3">
      <c r="A16" s="18" t="s">
        <v>137</v>
      </c>
      <c r="C16" s="18" t="e">
        <f t="shared" ref="C16:N16" si="9">+C8-C12</f>
        <v>#DIV/0!</v>
      </c>
      <c r="D16" s="18" t="e">
        <f t="shared" si="9"/>
        <v>#DIV/0!</v>
      </c>
      <c r="E16" s="18" t="e">
        <f t="shared" si="9"/>
        <v>#DIV/0!</v>
      </c>
      <c r="F16" s="18" t="e">
        <f t="shared" si="9"/>
        <v>#DIV/0!</v>
      </c>
      <c r="G16" s="18" t="e">
        <f t="shared" si="9"/>
        <v>#DIV/0!</v>
      </c>
      <c r="H16" s="18" t="e">
        <f t="shared" si="9"/>
        <v>#DIV/0!</v>
      </c>
      <c r="I16" s="18" t="e">
        <f t="shared" si="9"/>
        <v>#DIV/0!</v>
      </c>
      <c r="J16" s="18" t="e">
        <f t="shared" si="9"/>
        <v>#DIV/0!</v>
      </c>
      <c r="K16" s="18" t="e">
        <f t="shared" si="9"/>
        <v>#DIV/0!</v>
      </c>
      <c r="L16" s="18" t="e">
        <f t="shared" si="9"/>
        <v>#DIV/0!</v>
      </c>
      <c r="M16" s="18" t="e">
        <f t="shared" si="9"/>
        <v>#DIV/0!</v>
      </c>
      <c r="N16" s="18" t="e">
        <f t="shared" si="9"/>
        <v>#DIV/0!</v>
      </c>
      <c r="O16" s="18" t="e">
        <f t="shared" si="8"/>
        <v>#DIV/0!</v>
      </c>
      <c r="U16" s="18"/>
      <c r="V16" s="13"/>
    </row>
    <row r="17" spans="1:22" x14ac:dyDescent="0.3">
      <c r="A17" s="18" t="s">
        <v>178</v>
      </c>
      <c r="C17" s="18" t="e">
        <f>+C15+C16</f>
        <v>#DIV/0!</v>
      </c>
      <c r="D17" s="18" t="e">
        <f t="shared" ref="D17:N17" si="10">+D15+D16</f>
        <v>#DIV/0!</v>
      </c>
      <c r="E17" s="18" t="e">
        <f t="shared" si="10"/>
        <v>#DIV/0!</v>
      </c>
      <c r="F17" s="18" t="e">
        <f t="shared" si="10"/>
        <v>#DIV/0!</v>
      </c>
      <c r="G17" s="18" t="e">
        <f t="shared" si="10"/>
        <v>#DIV/0!</v>
      </c>
      <c r="H17" s="18" t="e">
        <f t="shared" si="10"/>
        <v>#DIV/0!</v>
      </c>
      <c r="I17" s="18" t="e">
        <f t="shared" si="10"/>
        <v>#DIV/0!</v>
      </c>
      <c r="J17" s="18" t="e">
        <f t="shared" si="10"/>
        <v>#DIV/0!</v>
      </c>
      <c r="K17" s="18" t="e">
        <f t="shared" si="10"/>
        <v>#DIV/0!</v>
      </c>
      <c r="L17" s="18" t="e">
        <f t="shared" si="10"/>
        <v>#DIV/0!</v>
      </c>
      <c r="M17" s="18" t="e">
        <f t="shared" si="10"/>
        <v>#DIV/0!</v>
      </c>
      <c r="N17" s="18" t="e">
        <f t="shared" si="10"/>
        <v>#DIV/0!</v>
      </c>
      <c r="O17" s="18" t="e">
        <f>+SUM(C17:N17)</f>
        <v>#DIV/0!</v>
      </c>
      <c r="U17" s="18"/>
      <c r="V17" s="13"/>
    </row>
    <row r="18" spans="1:22" x14ac:dyDescent="0.3">
      <c r="H18" s="18"/>
      <c r="I18" s="18"/>
      <c r="J18" s="18"/>
      <c r="K18" s="18"/>
      <c r="L18" s="18"/>
      <c r="M18" s="18"/>
      <c r="N18" s="18"/>
      <c r="O18" s="18"/>
      <c r="U18" s="18"/>
      <c r="V18" s="13"/>
    </row>
    <row r="19" spans="1:22" x14ac:dyDescent="0.3">
      <c r="A19" s="18" t="s">
        <v>134</v>
      </c>
      <c r="B19" s="18" t="e">
        <f>+'costo primo e margini'!N14</f>
        <v>#DIV/0!</v>
      </c>
      <c r="C19" s="114" t="e">
        <f>+C3*$B19</f>
        <v>#DIV/0!</v>
      </c>
      <c r="D19" s="114" t="e">
        <f t="shared" ref="D19:N19" si="11">+D3*$B19</f>
        <v>#DIV/0!</v>
      </c>
      <c r="E19" s="114" t="e">
        <f t="shared" si="11"/>
        <v>#DIV/0!</v>
      </c>
      <c r="F19" s="114" t="e">
        <f t="shared" si="11"/>
        <v>#DIV/0!</v>
      </c>
      <c r="G19" s="114" t="e">
        <f t="shared" si="11"/>
        <v>#DIV/0!</v>
      </c>
      <c r="H19" s="114" t="e">
        <f t="shared" si="11"/>
        <v>#DIV/0!</v>
      </c>
      <c r="I19" s="114" t="e">
        <f t="shared" si="11"/>
        <v>#DIV/0!</v>
      </c>
      <c r="J19" s="114" t="e">
        <f t="shared" si="11"/>
        <v>#DIV/0!</v>
      </c>
      <c r="K19" s="114" t="e">
        <f t="shared" si="11"/>
        <v>#DIV/0!</v>
      </c>
      <c r="L19" s="114" t="e">
        <f t="shared" si="11"/>
        <v>#DIV/0!</v>
      </c>
      <c r="M19" s="114" t="e">
        <f t="shared" si="11"/>
        <v>#DIV/0!</v>
      </c>
      <c r="N19" s="114" t="e">
        <f t="shared" si="11"/>
        <v>#DIV/0!</v>
      </c>
      <c r="O19" s="18" t="e">
        <f t="shared" ref="O19:O20" si="12">+SUM(C19:N19)</f>
        <v>#DIV/0!</v>
      </c>
      <c r="U19" s="18"/>
      <c r="V19" s="13"/>
    </row>
    <row r="20" spans="1:22" x14ac:dyDescent="0.3">
      <c r="A20" s="18" t="s">
        <v>135</v>
      </c>
      <c r="B20" s="18" t="e">
        <f>+'costo primo e margini'!N22</f>
        <v>#DIV/0!</v>
      </c>
      <c r="C20" s="114" t="e">
        <f t="shared" ref="C20:N20" si="13">+C4*$B20</f>
        <v>#DIV/0!</v>
      </c>
      <c r="D20" s="114" t="e">
        <f t="shared" si="13"/>
        <v>#DIV/0!</v>
      </c>
      <c r="E20" s="114" t="e">
        <f t="shared" si="13"/>
        <v>#DIV/0!</v>
      </c>
      <c r="F20" s="114" t="e">
        <f t="shared" si="13"/>
        <v>#DIV/0!</v>
      </c>
      <c r="G20" s="114" t="e">
        <f t="shared" si="13"/>
        <v>#DIV/0!</v>
      </c>
      <c r="H20" s="114" t="e">
        <f t="shared" si="13"/>
        <v>#DIV/0!</v>
      </c>
      <c r="I20" s="114" t="e">
        <f t="shared" si="13"/>
        <v>#DIV/0!</v>
      </c>
      <c r="J20" s="114" t="e">
        <f t="shared" si="13"/>
        <v>#DIV/0!</v>
      </c>
      <c r="K20" s="114" t="e">
        <f t="shared" si="13"/>
        <v>#DIV/0!</v>
      </c>
      <c r="L20" s="114" t="e">
        <f t="shared" si="13"/>
        <v>#DIV/0!</v>
      </c>
      <c r="M20" s="114" t="e">
        <f t="shared" si="13"/>
        <v>#DIV/0!</v>
      </c>
      <c r="N20" s="114" t="e">
        <f t="shared" si="13"/>
        <v>#DIV/0!</v>
      </c>
      <c r="O20" s="18" t="e">
        <f t="shared" si="12"/>
        <v>#DIV/0!</v>
      </c>
      <c r="U20" s="18"/>
      <c r="V20" s="13"/>
    </row>
    <row r="21" spans="1:22" x14ac:dyDescent="0.3">
      <c r="A21" s="18" t="s">
        <v>140</v>
      </c>
      <c r="C21" s="18" t="e">
        <f>+C19+C20</f>
        <v>#DIV/0!</v>
      </c>
      <c r="D21" s="18" t="e">
        <f t="shared" ref="D21:N21" si="14">+D19+D20</f>
        <v>#DIV/0!</v>
      </c>
      <c r="E21" s="18" t="e">
        <f t="shared" si="14"/>
        <v>#DIV/0!</v>
      </c>
      <c r="F21" s="18" t="e">
        <f t="shared" si="14"/>
        <v>#DIV/0!</v>
      </c>
      <c r="G21" s="18" t="e">
        <f t="shared" si="14"/>
        <v>#DIV/0!</v>
      </c>
      <c r="H21" s="18" t="e">
        <f t="shared" si="14"/>
        <v>#DIV/0!</v>
      </c>
      <c r="I21" s="18" t="e">
        <f t="shared" si="14"/>
        <v>#DIV/0!</v>
      </c>
      <c r="J21" s="18" t="e">
        <f t="shared" si="14"/>
        <v>#DIV/0!</v>
      </c>
      <c r="K21" s="18" t="e">
        <f t="shared" si="14"/>
        <v>#DIV/0!</v>
      </c>
      <c r="L21" s="18" t="e">
        <f t="shared" si="14"/>
        <v>#DIV/0!</v>
      </c>
      <c r="M21" s="18" t="e">
        <f t="shared" si="14"/>
        <v>#DIV/0!</v>
      </c>
      <c r="N21" s="18" t="e">
        <f t="shared" si="14"/>
        <v>#DIV/0!</v>
      </c>
      <c r="O21" s="18" t="e">
        <f>+SUM(C21:N21)</f>
        <v>#DIV/0!</v>
      </c>
      <c r="U21" s="18"/>
      <c r="V21" s="13"/>
    </row>
    <row r="22" spans="1:22" x14ac:dyDescent="0.3">
      <c r="H22" s="18"/>
      <c r="I22" s="18"/>
      <c r="J22" s="18"/>
      <c r="K22" s="18"/>
      <c r="L22" s="18"/>
      <c r="M22" s="18"/>
      <c r="N22" s="18"/>
      <c r="O22" s="18"/>
      <c r="U22" s="18"/>
      <c r="V22" s="13"/>
    </row>
    <row r="23" spans="1:22" x14ac:dyDescent="0.3">
      <c r="A23" s="18" t="s">
        <v>185</v>
      </c>
      <c r="C23" s="18" t="e">
        <f>+C7-C19</f>
        <v>#DIV/0!</v>
      </c>
      <c r="D23" s="18" t="e">
        <f t="shared" ref="D23:N23" si="15">+D7-D19</f>
        <v>#DIV/0!</v>
      </c>
      <c r="E23" s="18" t="e">
        <f t="shared" si="15"/>
        <v>#DIV/0!</v>
      </c>
      <c r="F23" s="18" t="e">
        <f t="shared" si="15"/>
        <v>#DIV/0!</v>
      </c>
      <c r="G23" s="18" t="e">
        <f t="shared" si="15"/>
        <v>#DIV/0!</v>
      </c>
      <c r="H23" s="18" t="e">
        <f t="shared" si="15"/>
        <v>#DIV/0!</v>
      </c>
      <c r="I23" s="18" t="e">
        <f t="shared" si="15"/>
        <v>#DIV/0!</v>
      </c>
      <c r="J23" s="18" t="e">
        <f t="shared" si="15"/>
        <v>#DIV/0!</v>
      </c>
      <c r="K23" s="18" t="e">
        <f t="shared" si="15"/>
        <v>#DIV/0!</v>
      </c>
      <c r="L23" s="18" t="e">
        <f t="shared" si="15"/>
        <v>#DIV/0!</v>
      </c>
      <c r="M23" s="18" t="e">
        <f t="shared" si="15"/>
        <v>#DIV/0!</v>
      </c>
      <c r="N23" s="18" t="e">
        <f t="shared" si="15"/>
        <v>#DIV/0!</v>
      </c>
      <c r="O23" s="18" t="e">
        <f t="shared" ref="O23:O24" si="16">+SUM(C23:N23)</f>
        <v>#DIV/0!</v>
      </c>
      <c r="U23" s="18"/>
      <c r="V23" s="13"/>
    </row>
    <row r="24" spans="1:22" x14ac:dyDescent="0.3">
      <c r="A24" s="18" t="s">
        <v>186</v>
      </c>
      <c r="C24" s="18" t="e">
        <f t="shared" ref="C24:N24" si="17">+C8-C20</f>
        <v>#DIV/0!</v>
      </c>
      <c r="D24" s="18" t="e">
        <f t="shared" si="17"/>
        <v>#DIV/0!</v>
      </c>
      <c r="E24" s="18" t="e">
        <f t="shared" si="17"/>
        <v>#DIV/0!</v>
      </c>
      <c r="F24" s="18" t="e">
        <f t="shared" si="17"/>
        <v>#DIV/0!</v>
      </c>
      <c r="G24" s="18" t="e">
        <f t="shared" si="17"/>
        <v>#DIV/0!</v>
      </c>
      <c r="H24" s="18" t="e">
        <f t="shared" si="17"/>
        <v>#DIV/0!</v>
      </c>
      <c r="I24" s="18" t="e">
        <f t="shared" si="17"/>
        <v>#DIV/0!</v>
      </c>
      <c r="J24" s="18" t="e">
        <f t="shared" si="17"/>
        <v>#DIV/0!</v>
      </c>
      <c r="K24" s="18" t="e">
        <f t="shared" si="17"/>
        <v>#DIV/0!</v>
      </c>
      <c r="L24" s="18" t="e">
        <f t="shared" si="17"/>
        <v>#DIV/0!</v>
      </c>
      <c r="M24" s="18" t="e">
        <f t="shared" si="17"/>
        <v>#DIV/0!</v>
      </c>
      <c r="N24" s="18" t="e">
        <f t="shared" si="17"/>
        <v>#DIV/0!</v>
      </c>
      <c r="O24" s="18" t="e">
        <f t="shared" si="16"/>
        <v>#DIV/0!</v>
      </c>
      <c r="U24" s="18"/>
      <c r="V24" s="13"/>
    </row>
    <row r="25" spans="1:22" x14ac:dyDescent="0.3">
      <c r="A25" s="18" t="s">
        <v>187</v>
      </c>
      <c r="C25" s="18" t="e">
        <f>+C23+C24</f>
        <v>#DIV/0!</v>
      </c>
      <c r="D25" s="18" t="e">
        <f t="shared" ref="D25:N25" si="18">+D23+D24</f>
        <v>#DIV/0!</v>
      </c>
      <c r="E25" s="18" t="e">
        <f t="shared" si="18"/>
        <v>#DIV/0!</v>
      </c>
      <c r="F25" s="18" t="e">
        <f t="shared" si="18"/>
        <v>#DIV/0!</v>
      </c>
      <c r="G25" s="18" t="e">
        <f t="shared" si="18"/>
        <v>#DIV/0!</v>
      </c>
      <c r="H25" s="18" t="e">
        <f t="shared" si="18"/>
        <v>#DIV/0!</v>
      </c>
      <c r="I25" s="18" t="e">
        <f t="shared" si="18"/>
        <v>#DIV/0!</v>
      </c>
      <c r="J25" s="18" t="e">
        <f t="shared" si="18"/>
        <v>#DIV/0!</v>
      </c>
      <c r="K25" s="18" t="e">
        <f t="shared" si="18"/>
        <v>#DIV/0!</v>
      </c>
      <c r="L25" s="18" t="e">
        <f t="shared" si="18"/>
        <v>#DIV/0!</v>
      </c>
      <c r="M25" s="18" t="e">
        <f t="shared" si="18"/>
        <v>#DIV/0!</v>
      </c>
      <c r="N25" s="18" t="e">
        <f t="shared" si="18"/>
        <v>#DIV/0!</v>
      </c>
      <c r="O25" s="18" t="e">
        <f>+SUM(C25:N25)</f>
        <v>#DIV/0!</v>
      </c>
      <c r="U25" s="18"/>
      <c r="V25" s="13"/>
    </row>
    <row r="26" spans="1:22" x14ac:dyDescent="0.3">
      <c r="H26" s="18"/>
      <c r="I26" s="18"/>
      <c r="J26" s="18"/>
      <c r="K26" s="18"/>
      <c r="L26" s="18"/>
      <c r="M26" s="18"/>
      <c r="N26" s="18"/>
      <c r="O26" s="18"/>
      <c r="U26" s="18"/>
      <c r="V26" s="13"/>
    </row>
    <row r="27" spans="1:22" x14ac:dyDescent="0.3">
      <c r="C27" s="18" t="e">
        <f>+C19/C3</f>
        <v>#DIV/0!</v>
      </c>
      <c r="D27" s="18" t="e">
        <f t="shared" ref="D27:O27" si="19">+D19/D3</f>
        <v>#DIV/0!</v>
      </c>
      <c r="E27" s="18" t="e">
        <f t="shared" si="19"/>
        <v>#DIV/0!</v>
      </c>
      <c r="F27" s="18" t="e">
        <f t="shared" si="19"/>
        <v>#DIV/0!</v>
      </c>
      <c r="G27" s="18" t="e">
        <f t="shared" si="19"/>
        <v>#DIV/0!</v>
      </c>
      <c r="H27" s="18" t="e">
        <f t="shared" si="19"/>
        <v>#DIV/0!</v>
      </c>
      <c r="I27" s="18" t="e">
        <f t="shared" si="19"/>
        <v>#DIV/0!</v>
      </c>
      <c r="J27" s="18" t="e">
        <f t="shared" si="19"/>
        <v>#DIV/0!</v>
      </c>
      <c r="K27" s="18" t="e">
        <f t="shared" si="19"/>
        <v>#DIV/0!</v>
      </c>
      <c r="L27" s="18" t="e">
        <f t="shared" si="19"/>
        <v>#DIV/0!</v>
      </c>
      <c r="M27" s="18" t="e">
        <f t="shared" si="19"/>
        <v>#DIV/0!</v>
      </c>
      <c r="N27" s="18" t="e">
        <f t="shared" si="19"/>
        <v>#DIV/0!</v>
      </c>
      <c r="O27" s="18" t="e">
        <f t="shared" si="19"/>
        <v>#DIV/0!</v>
      </c>
      <c r="U27" s="18"/>
      <c r="V27" s="13"/>
    </row>
    <row r="28" spans="1:22" x14ac:dyDescent="0.3">
      <c r="C28" s="18" t="e">
        <f t="shared" ref="C28:O28" si="20">+C20/C4</f>
        <v>#DIV/0!</v>
      </c>
      <c r="D28" s="18" t="e">
        <f t="shared" si="20"/>
        <v>#DIV/0!</v>
      </c>
      <c r="E28" s="18" t="e">
        <f t="shared" si="20"/>
        <v>#DIV/0!</v>
      </c>
      <c r="F28" s="18" t="e">
        <f t="shared" si="20"/>
        <v>#DIV/0!</v>
      </c>
      <c r="G28" s="18" t="e">
        <f t="shared" si="20"/>
        <v>#DIV/0!</v>
      </c>
      <c r="H28" s="18" t="e">
        <f t="shared" si="20"/>
        <v>#DIV/0!</v>
      </c>
      <c r="I28" s="18" t="e">
        <f t="shared" si="20"/>
        <v>#DIV/0!</v>
      </c>
      <c r="J28" s="18" t="e">
        <f t="shared" si="20"/>
        <v>#DIV/0!</v>
      </c>
      <c r="K28" s="18" t="e">
        <f t="shared" si="20"/>
        <v>#DIV/0!</v>
      </c>
      <c r="L28" s="18" t="e">
        <f t="shared" si="20"/>
        <v>#DIV/0!</v>
      </c>
      <c r="M28" s="18" t="e">
        <f t="shared" si="20"/>
        <v>#DIV/0!</v>
      </c>
      <c r="N28" s="18" t="e">
        <f t="shared" si="20"/>
        <v>#DIV/0!</v>
      </c>
      <c r="O28" s="18" t="e">
        <f t="shared" si="20"/>
        <v>#DIV/0!</v>
      </c>
      <c r="U28" s="18"/>
      <c r="V28" s="13"/>
    </row>
    <row r="29" spans="1:22" x14ac:dyDescent="0.3">
      <c r="H29" s="18"/>
      <c r="I29" s="18"/>
      <c r="J29" s="18"/>
      <c r="K29" s="18"/>
      <c r="L29" s="18"/>
      <c r="M29" s="18"/>
      <c r="N29" s="18"/>
      <c r="O29" s="18"/>
      <c r="U29" s="18"/>
      <c r="V29" s="13"/>
    </row>
    <row r="30" spans="1:22" x14ac:dyDescent="0.3">
      <c r="A30" s="18" t="s">
        <v>193</v>
      </c>
      <c r="C30" s="15" t="e">
        <f>+C23/C3</f>
        <v>#DIV/0!</v>
      </c>
      <c r="D30" s="15" t="e">
        <f t="shared" ref="D30:O30" si="21">+D23/D3</f>
        <v>#DIV/0!</v>
      </c>
      <c r="E30" s="15" t="e">
        <f t="shared" si="21"/>
        <v>#DIV/0!</v>
      </c>
      <c r="F30" s="15" t="e">
        <f t="shared" si="21"/>
        <v>#DIV/0!</v>
      </c>
      <c r="G30" s="15" t="e">
        <f t="shared" si="21"/>
        <v>#DIV/0!</v>
      </c>
      <c r="H30" s="15" t="e">
        <f t="shared" si="21"/>
        <v>#DIV/0!</v>
      </c>
      <c r="I30" s="15" t="e">
        <f t="shared" si="21"/>
        <v>#DIV/0!</v>
      </c>
      <c r="J30" s="15" t="e">
        <f t="shared" si="21"/>
        <v>#DIV/0!</v>
      </c>
      <c r="K30" s="15" t="e">
        <f t="shared" si="21"/>
        <v>#DIV/0!</v>
      </c>
      <c r="L30" s="15" t="e">
        <f t="shared" si="21"/>
        <v>#DIV/0!</v>
      </c>
      <c r="M30" s="15" t="e">
        <f t="shared" si="21"/>
        <v>#DIV/0!</v>
      </c>
      <c r="N30" s="15" t="e">
        <f t="shared" si="21"/>
        <v>#DIV/0!</v>
      </c>
      <c r="O30" s="15" t="e">
        <f t="shared" si="21"/>
        <v>#DIV/0!</v>
      </c>
      <c r="U30" s="18"/>
      <c r="V30" s="13"/>
    </row>
    <row r="31" spans="1:22" x14ac:dyDescent="0.3">
      <c r="C31" s="15" t="e">
        <f t="shared" ref="C31:O31" si="22">+C24/C4</f>
        <v>#DIV/0!</v>
      </c>
      <c r="D31" s="15" t="e">
        <f t="shared" si="22"/>
        <v>#DIV/0!</v>
      </c>
      <c r="E31" s="15" t="e">
        <f t="shared" si="22"/>
        <v>#DIV/0!</v>
      </c>
      <c r="F31" s="15" t="e">
        <f t="shared" si="22"/>
        <v>#DIV/0!</v>
      </c>
      <c r="G31" s="15" t="e">
        <f t="shared" si="22"/>
        <v>#DIV/0!</v>
      </c>
      <c r="H31" s="15" t="e">
        <f t="shared" si="22"/>
        <v>#DIV/0!</v>
      </c>
      <c r="I31" s="15" t="e">
        <f t="shared" si="22"/>
        <v>#DIV/0!</v>
      </c>
      <c r="J31" s="15" t="e">
        <f t="shared" si="22"/>
        <v>#DIV/0!</v>
      </c>
      <c r="K31" s="15" t="e">
        <f t="shared" si="22"/>
        <v>#DIV/0!</v>
      </c>
      <c r="L31" s="15" t="e">
        <f t="shared" si="22"/>
        <v>#DIV/0!</v>
      </c>
      <c r="M31" s="15" t="e">
        <f t="shared" si="22"/>
        <v>#DIV/0!</v>
      </c>
      <c r="N31" s="15" t="e">
        <f t="shared" si="22"/>
        <v>#DIV/0!</v>
      </c>
      <c r="O31" s="15" t="e">
        <f t="shared" si="22"/>
        <v>#DIV/0!</v>
      </c>
      <c r="U31" s="18"/>
      <c r="V31" s="13"/>
    </row>
    <row r="32" spans="1:22" x14ac:dyDescent="0.3">
      <c r="H32" s="18"/>
      <c r="I32" s="18"/>
      <c r="J32" s="18"/>
      <c r="K32" s="18"/>
      <c r="L32" s="18"/>
      <c r="M32" s="18"/>
      <c r="N32" s="18"/>
      <c r="O32" s="18"/>
    </row>
    <row r="33" spans="8:15" x14ac:dyDescent="0.3">
      <c r="H33" s="18"/>
      <c r="I33" s="18"/>
      <c r="J33" s="18"/>
      <c r="K33" s="18"/>
      <c r="L33" s="18"/>
      <c r="M33" s="18"/>
      <c r="N33" s="18"/>
      <c r="O33" s="18"/>
    </row>
  </sheetData>
  <mergeCells count="3">
    <mergeCell ref="C1:O1"/>
    <mergeCell ref="Q1:U1"/>
    <mergeCell ref="V1:V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9581-3E2E-45D0-A778-1725D21BF10C}">
  <dimension ref="A1:U18"/>
  <sheetViews>
    <sheetView zoomScale="140" zoomScaleNormal="140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B11" sqref="B11"/>
    </sheetView>
  </sheetViews>
  <sheetFormatPr defaultRowHeight="14.4" x14ac:dyDescent="0.3"/>
  <cols>
    <col min="1" max="1" width="19.4414062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3.21875" customWidth="1"/>
    <col min="16" max="16" width="8.88671875" customWidth="1"/>
  </cols>
  <sheetData>
    <row r="1" spans="1:21" ht="15" thickBot="1" x14ac:dyDescent="0.35">
      <c r="B1" s="115" t="s">
        <v>16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P1" s="115" t="s">
        <v>17</v>
      </c>
      <c r="Q1" s="116"/>
      <c r="R1" s="116"/>
      <c r="S1" s="116"/>
      <c r="T1" s="117"/>
      <c r="U1" s="118" t="s">
        <v>57</v>
      </c>
    </row>
    <row r="2" spans="1:21" ht="15" thickBot="1" x14ac:dyDescent="0.35">
      <c r="A2" s="48" t="s">
        <v>52</v>
      </c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  <c r="P2" s="19" t="s">
        <v>30</v>
      </c>
      <c r="Q2" s="20" t="s">
        <v>31</v>
      </c>
      <c r="R2" s="23" t="s">
        <v>32</v>
      </c>
      <c r="S2" s="21" t="s">
        <v>33</v>
      </c>
      <c r="T2" s="22" t="s">
        <v>1</v>
      </c>
      <c r="U2" s="118"/>
    </row>
    <row r="3" spans="1:21" x14ac:dyDescent="0.3">
      <c r="A3" s="18" t="s">
        <v>48</v>
      </c>
      <c r="B3" s="18">
        <f>+'budget vendite'!B3</f>
        <v>1830</v>
      </c>
      <c r="C3" s="18">
        <f>+'budget vendite'!C3</f>
        <v>1760</v>
      </c>
      <c r="D3" s="18">
        <f>+'budget vendite'!D3</f>
        <v>1460</v>
      </c>
      <c r="E3" s="18">
        <f>+'budget vendite'!E3</f>
        <v>1330</v>
      </c>
      <c r="F3" s="18">
        <f>+'budget vendite'!F3</f>
        <v>1200</v>
      </c>
      <c r="G3" s="18">
        <f>+'budget vendite'!G3</f>
        <v>910</v>
      </c>
      <c r="H3" s="18">
        <f>+'budget vendite'!H3</f>
        <v>960</v>
      </c>
      <c r="I3" s="18">
        <f>+'budget vendite'!I3</f>
        <v>1210</v>
      </c>
      <c r="J3" s="18">
        <f>+'budget vendite'!J3</f>
        <v>1680</v>
      </c>
      <c r="K3" s="18">
        <f>+'budget vendite'!K3</f>
        <v>1980</v>
      </c>
      <c r="L3" s="18">
        <f>+'budget vendite'!L3</f>
        <v>2270</v>
      </c>
      <c r="M3" s="18">
        <f>+'budget vendite'!M3</f>
        <v>2470</v>
      </c>
      <c r="N3" s="18">
        <f>+SUM(B3:M3)</f>
        <v>19060</v>
      </c>
      <c r="P3" s="18">
        <f>+'budget vendite'!P3</f>
        <v>5340</v>
      </c>
      <c r="Q3" s="18">
        <f>+'budget vendite'!Q3</f>
        <v>3890</v>
      </c>
      <c r="R3" s="18">
        <f>+'budget vendite'!R3</f>
        <v>4270</v>
      </c>
      <c r="S3" s="18">
        <f>+'budget vendite'!S3</f>
        <v>7010</v>
      </c>
      <c r="T3" s="18">
        <f>+SUM(P3:S3)</f>
        <v>20510</v>
      </c>
      <c r="U3" s="13">
        <f>+T3/N3-1</f>
        <v>7.6075550891920196E-2</v>
      </c>
    </row>
    <row r="4" spans="1:21" x14ac:dyDescent="0.3">
      <c r="A4" s="18" t="s">
        <v>49</v>
      </c>
      <c r="B4" s="18">
        <f>+'budget vendite'!B4</f>
        <v>1130</v>
      </c>
      <c r="C4" s="18">
        <f>+'budget vendite'!C4</f>
        <v>1040</v>
      </c>
      <c r="D4" s="18">
        <f>+'budget vendite'!D4</f>
        <v>1090</v>
      </c>
      <c r="E4" s="18">
        <f>+'budget vendite'!E4</f>
        <v>1250</v>
      </c>
      <c r="F4" s="18">
        <f>+'budget vendite'!F4</f>
        <v>1680</v>
      </c>
      <c r="G4" s="18">
        <f>+'budget vendite'!G4</f>
        <v>1940</v>
      </c>
      <c r="H4" s="18">
        <f>+'budget vendite'!H4</f>
        <v>2130</v>
      </c>
      <c r="I4" s="18">
        <f>+'budget vendite'!I4</f>
        <v>2100</v>
      </c>
      <c r="J4" s="18">
        <f>+'budget vendite'!J4</f>
        <v>1880</v>
      </c>
      <c r="K4" s="18">
        <f>+'budget vendite'!K4</f>
        <v>1710</v>
      </c>
      <c r="L4" s="18">
        <f>+'budget vendite'!L4</f>
        <v>1500</v>
      </c>
      <c r="M4" s="18">
        <f>+'budget vendite'!M4</f>
        <v>1400</v>
      </c>
      <c r="N4" s="18">
        <f>+SUM(B4:M4)</f>
        <v>18850</v>
      </c>
      <c r="P4" s="18">
        <f>+'budget vendite'!P4</f>
        <v>3030</v>
      </c>
      <c r="Q4" s="18">
        <f>+'budget vendite'!Q4</f>
        <v>4380</v>
      </c>
      <c r="R4" s="18">
        <f>+'budget vendite'!R4</f>
        <v>5830</v>
      </c>
      <c r="S4" s="18">
        <f>+'budget vendite'!S4</f>
        <v>4560</v>
      </c>
      <c r="T4" s="18">
        <f>+SUM(P4:S4)</f>
        <v>17800</v>
      </c>
      <c r="U4" s="13">
        <f>+T4/N4-1</f>
        <v>-5.5702917771883298E-2</v>
      </c>
    </row>
    <row r="5" spans="1:21" x14ac:dyDescent="0.3">
      <c r="A5" s="18" t="s">
        <v>53</v>
      </c>
      <c r="B5" s="18">
        <f>+B3+B4</f>
        <v>2960</v>
      </c>
      <c r="C5" s="18">
        <f t="shared" ref="C5:M5" si="0">+C3+C4</f>
        <v>2800</v>
      </c>
      <c r="D5" s="18">
        <f t="shared" si="0"/>
        <v>2550</v>
      </c>
      <c r="E5" s="18">
        <f t="shared" si="0"/>
        <v>2580</v>
      </c>
      <c r="F5" s="18">
        <f t="shared" si="0"/>
        <v>2880</v>
      </c>
      <c r="G5" s="18">
        <f t="shared" si="0"/>
        <v>2850</v>
      </c>
      <c r="H5" s="18">
        <f t="shared" si="0"/>
        <v>3090</v>
      </c>
      <c r="I5" s="18">
        <f t="shared" si="0"/>
        <v>3310</v>
      </c>
      <c r="J5" s="18">
        <f t="shared" si="0"/>
        <v>3560</v>
      </c>
      <c r="K5" s="18">
        <f t="shared" si="0"/>
        <v>3690</v>
      </c>
      <c r="L5" s="18">
        <f t="shared" si="0"/>
        <v>3770</v>
      </c>
      <c r="M5" s="18">
        <f t="shared" si="0"/>
        <v>3870</v>
      </c>
      <c r="N5" s="18">
        <f>+SUM(B5:M5)</f>
        <v>37910</v>
      </c>
      <c r="P5" s="18">
        <f>+P3+P4</f>
        <v>8370</v>
      </c>
      <c r="Q5" s="18">
        <f>+Q3+Q4</f>
        <v>8270</v>
      </c>
      <c r="R5" s="18">
        <f>+R3+R4</f>
        <v>10100</v>
      </c>
      <c r="S5" s="18">
        <f>+S3+S4</f>
        <v>11570</v>
      </c>
      <c r="T5" s="18">
        <f>+T3+T4</f>
        <v>38310</v>
      </c>
      <c r="U5" s="13">
        <f>+T5/N5-1</f>
        <v>1.055130572408336E-2</v>
      </c>
    </row>
    <row r="7" spans="1:21" x14ac:dyDescent="0.3">
      <c r="A7" s="18" t="s">
        <v>65</v>
      </c>
      <c r="B7" s="18">
        <v>3000</v>
      </c>
      <c r="C7" s="18">
        <v>3000</v>
      </c>
      <c r="D7" s="18">
        <v>3000</v>
      </c>
      <c r="E7" s="18">
        <v>3000</v>
      </c>
      <c r="F7" s="18">
        <v>3000</v>
      </c>
      <c r="G7" s="18">
        <v>3000</v>
      </c>
      <c r="H7" s="18">
        <v>3000</v>
      </c>
      <c r="I7" s="18">
        <v>0</v>
      </c>
      <c r="J7" s="18">
        <v>3000</v>
      </c>
      <c r="K7" s="18">
        <v>3000</v>
      </c>
      <c r="L7" s="18">
        <v>3000</v>
      </c>
      <c r="M7" s="18">
        <v>3000</v>
      </c>
      <c r="N7" s="18">
        <f>+SUM(B7:M7)</f>
        <v>33000</v>
      </c>
    </row>
    <row r="8" spans="1:21" x14ac:dyDescent="0.3">
      <c r="A8" s="18" t="s">
        <v>66</v>
      </c>
      <c r="B8" s="18">
        <v>4000</v>
      </c>
      <c r="C8" s="18">
        <v>4000</v>
      </c>
      <c r="D8" s="18">
        <v>4000</v>
      </c>
      <c r="E8" s="18">
        <v>4000</v>
      </c>
      <c r="F8" s="18">
        <v>4000</v>
      </c>
      <c r="G8" s="18">
        <v>4000</v>
      </c>
      <c r="H8" s="18">
        <v>4000</v>
      </c>
      <c r="I8" s="18">
        <v>0</v>
      </c>
      <c r="J8" s="18">
        <v>4000</v>
      </c>
      <c r="K8" s="18">
        <v>4000</v>
      </c>
      <c r="L8" s="18">
        <v>4000</v>
      </c>
      <c r="M8" s="18">
        <v>4000</v>
      </c>
      <c r="N8" s="18">
        <f>+SUM(B8:M8)</f>
        <v>44000</v>
      </c>
    </row>
    <row r="9" spans="1:21" ht="15" thickBot="1" x14ac:dyDescent="0.35">
      <c r="G9" s="18"/>
      <c r="H9" s="18"/>
      <c r="I9" s="18"/>
      <c r="J9" s="18"/>
      <c r="K9" s="18"/>
      <c r="L9" s="18"/>
      <c r="M9" s="18"/>
    </row>
    <row r="10" spans="1:21" ht="15" thickBot="1" x14ac:dyDescent="0.35">
      <c r="A10" s="48" t="s">
        <v>102</v>
      </c>
      <c r="G10" s="18"/>
      <c r="H10" s="18"/>
      <c r="I10" s="18"/>
      <c r="J10" s="18"/>
      <c r="K10" s="18"/>
      <c r="L10" s="18"/>
      <c r="M10" s="18"/>
    </row>
    <row r="11" spans="1:21" x14ac:dyDescent="0.3">
      <c r="A11" s="18" t="s">
        <v>48</v>
      </c>
      <c r="B11" s="18">
        <f>+'budget scorte prodotti fin'!C9</f>
        <v>1250</v>
      </c>
      <c r="C11" s="18">
        <f>+'budget scorte prodotti fin'!D9</f>
        <v>1250</v>
      </c>
      <c r="D11" s="18">
        <f>+'budget scorte prodotti fin'!E9</f>
        <v>1250</v>
      </c>
      <c r="E11" s="18">
        <f>+'budget scorte prodotti fin'!F9</f>
        <v>1250</v>
      </c>
      <c r="F11" s="18">
        <f>+'budget scorte prodotti fin'!G9</f>
        <v>1250</v>
      </c>
      <c r="G11" s="18">
        <f>+'budget scorte prodotti fin'!H9</f>
        <v>1500</v>
      </c>
      <c r="H11" s="18">
        <f>+'budget scorte prodotti fin'!I9</f>
        <v>1500</v>
      </c>
      <c r="I11" s="18">
        <f>+'budget scorte prodotti fin'!J9</f>
        <v>0</v>
      </c>
      <c r="J11" s="18">
        <f>+'budget scorte prodotti fin'!K9</f>
        <v>2000</v>
      </c>
      <c r="K11" s="18">
        <f>+'budget scorte prodotti fin'!L9</f>
        <v>2000</v>
      </c>
      <c r="L11" s="18">
        <f>+'budget scorte prodotti fin'!M9</f>
        <v>2000</v>
      </c>
      <c r="M11" s="18">
        <f>+'budget scorte prodotti fin'!N9</f>
        <v>2000</v>
      </c>
      <c r="N11" s="18">
        <f>+SUM(B11:M11)</f>
        <v>17250</v>
      </c>
      <c r="P11" s="18">
        <f>3000*2</f>
        <v>6000</v>
      </c>
      <c r="Q11" s="18">
        <f>3000+1500</f>
        <v>4500</v>
      </c>
      <c r="R11" s="18">
        <v>3000</v>
      </c>
      <c r="S11" s="18">
        <f>3000+1500</f>
        <v>4500</v>
      </c>
      <c r="T11" s="18">
        <f>+SUM(P11:S11)</f>
        <v>18000</v>
      </c>
      <c r="U11" s="13">
        <f>+T11/N11-1</f>
        <v>4.3478260869565188E-2</v>
      </c>
    </row>
    <row r="12" spans="1:21" x14ac:dyDescent="0.3">
      <c r="A12" s="18" t="s">
        <v>49</v>
      </c>
      <c r="B12" s="18">
        <f>+'budget scorte prodotti fin'!C10</f>
        <v>2250</v>
      </c>
      <c r="C12" s="18">
        <f>+'budget scorte prodotti fin'!D10</f>
        <v>2250</v>
      </c>
      <c r="D12" s="18">
        <f>+'budget scorte prodotti fin'!E10</f>
        <v>2250</v>
      </c>
      <c r="E12" s="18">
        <f>+'budget scorte prodotti fin'!F10</f>
        <v>2250</v>
      </c>
      <c r="F12" s="18">
        <f>+'budget scorte prodotti fin'!G10</f>
        <v>2250</v>
      </c>
      <c r="G12" s="18">
        <f>+'budget scorte prodotti fin'!H10</f>
        <v>1750</v>
      </c>
      <c r="H12" s="18">
        <f>+'budget scorte prodotti fin'!I10</f>
        <v>1750</v>
      </c>
      <c r="I12" s="18">
        <f>+'budget scorte prodotti fin'!J10</f>
        <v>0</v>
      </c>
      <c r="J12" s="18">
        <f>+'budget scorte prodotti fin'!K10</f>
        <v>1000</v>
      </c>
      <c r="K12" s="18">
        <f>+'budget scorte prodotti fin'!L10</f>
        <v>1000</v>
      </c>
      <c r="L12" s="18">
        <f>+'budget scorte prodotti fin'!M10</f>
        <v>1250</v>
      </c>
      <c r="M12" s="18">
        <f>+'budget scorte prodotti fin'!N10</f>
        <v>1250</v>
      </c>
      <c r="N12" s="18">
        <f>+SUM(B12:M12)</f>
        <v>19250</v>
      </c>
      <c r="P12" s="18">
        <v>4000</v>
      </c>
      <c r="Q12" s="18">
        <f>4000+2000</f>
        <v>6000</v>
      </c>
      <c r="R12" s="18">
        <v>4000</v>
      </c>
      <c r="S12" s="18">
        <f>4000+2000</f>
        <v>6000</v>
      </c>
      <c r="T12" s="18">
        <f>+SUM(P12:S12)</f>
        <v>20000</v>
      </c>
      <c r="U12" s="13">
        <f>+T12/N12-1</f>
        <v>3.8961038961038863E-2</v>
      </c>
    </row>
    <row r="13" spans="1:21" x14ac:dyDescent="0.3">
      <c r="A13" s="18" t="s">
        <v>67</v>
      </c>
      <c r="B13" s="18">
        <f>+'budget scorte prodotti fin'!C11</f>
        <v>3500</v>
      </c>
      <c r="C13" s="18">
        <f>+'budget scorte prodotti fin'!D11</f>
        <v>3500</v>
      </c>
      <c r="D13" s="18">
        <f>+'budget scorte prodotti fin'!E11</f>
        <v>3500</v>
      </c>
      <c r="E13" s="18">
        <f>+'budget scorte prodotti fin'!F11</f>
        <v>3500</v>
      </c>
      <c r="F13" s="18">
        <f>+'budget scorte prodotti fin'!G11</f>
        <v>3500</v>
      </c>
      <c r="G13" s="18">
        <f>+'budget scorte prodotti fin'!H11</f>
        <v>3250</v>
      </c>
      <c r="H13" s="18">
        <f>+'budget scorte prodotti fin'!I11</f>
        <v>3250</v>
      </c>
      <c r="I13" s="18">
        <f>+'budget scorte prodotti fin'!J11</f>
        <v>0</v>
      </c>
      <c r="J13" s="18">
        <f>+'budget scorte prodotti fin'!K11</f>
        <v>3000</v>
      </c>
      <c r="K13" s="18">
        <f>+'budget scorte prodotti fin'!L11</f>
        <v>3000</v>
      </c>
      <c r="L13" s="18">
        <f>+'budget scorte prodotti fin'!M11</f>
        <v>3250</v>
      </c>
      <c r="M13" s="18">
        <f>+'budget scorte prodotti fin'!N11</f>
        <v>3250</v>
      </c>
      <c r="N13" s="18">
        <f>+SUM(B13:M13)</f>
        <v>36500</v>
      </c>
      <c r="P13" s="18">
        <f>+P11+P12</f>
        <v>10000</v>
      </c>
      <c r="Q13" s="18">
        <f>+Q11+Q12</f>
        <v>10500</v>
      </c>
      <c r="R13" s="18">
        <f>+R11+R12</f>
        <v>7000</v>
      </c>
      <c r="S13" s="18">
        <f>+S11+S12</f>
        <v>10500</v>
      </c>
      <c r="T13" s="18">
        <f>+T11+T12</f>
        <v>38000</v>
      </c>
      <c r="U13" s="13">
        <f>+T13/N13-1</f>
        <v>4.1095890410958846E-2</v>
      </c>
    </row>
    <row r="14" spans="1:21" x14ac:dyDescent="0.3">
      <c r="G14" s="18"/>
      <c r="H14" s="18"/>
      <c r="I14" s="18"/>
      <c r="J14" s="18"/>
      <c r="K14" s="18"/>
      <c r="L14" s="18"/>
      <c r="M14" s="18"/>
      <c r="U14" s="13"/>
    </row>
    <row r="16" spans="1:21" x14ac:dyDescent="0.3">
      <c r="G16" s="18"/>
      <c r="H16" s="18"/>
      <c r="I16" s="18"/>
      <c r="J16" s="18"/>
      <c r="K16" s="18"/>
      <c r="L16" s="18"/>
      <c r="M16" s="18"/>
      <c r="N16" s="18"/>
    </row>
    <row r="17" spans="7:14" x14ac:dyDescent="0.3">
      <c r="G17" s="18"/>
      <c r="H17" s="18"/>
      <c r="I17" s="18"/>
      <c r="J17" s="18"/>
      <c r="K17" s="18"/>
      <c r="L17" s="18"/>
      <c r="M17" s="18"/>
      <c r="N17" s="18"/>
    </row>
    <row r="18" spans="7:14" x14ac:dyDescent="0.3">
      <c r="G18" s="18"/>
      <c r="H18" s="18"/>
      <c r="I18" s="18"/>
      <c r="J18" s="18"/>
      <c r="K18" s="18"/>
      <c r="L18" s="18"/>
      <c r="M18" s="18"/>
      <c r="N18" s="18"/>
    </row>
  </sheetData>
  <mergeCells count="3">
    <mergeCell ref="B1:N1"/>
    <mergeCell ref="P1:T1"/>
    <mergeCell ref="U1:U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BFD94-E053-4090-8F9B-23615F843E6E}">
  <dimension ref="A1:U44"/>
  <sheetViews>
    <sheetView zoomScale="130" zoomScaleNormal="130" workbookViewId="0">
      <pane xSplit="2" ySplit="2" topLeftCell="C4" activePane="bottomRight" state="frozen"/>
      <selection pane="topRight" activeCell="C1" sqref="C1"/>
      <selection pane="bottomLeft" activeCell="A3" sqref="A3"/>
      <selection pane="bottomRight" activeCell="Q5" sqref="Q5"/>
    </sheetView>
  </sheetViews>
  <sheetFormatPr defaultRowHeight="14.4" x14ac:dyDescent="0.3"/>
  <cols>
    <col min="1" max="1" width="21.77734375" customWidth="1"/>
    <col min="2" max="2" width="9.33203125" bestFit="1" customWidth="1"/>
    <col min="3" max="5" width="7.6640625" bestFit="1" customWidth="1"/>
    <col min="6" max="6" width="10.33203125" bestFit="1" customWidth="1"/>
    <col min="7" max="7" width="9.33203125" bestFit="1" customWidth="1"/>
    <col min="8" max="9" width="7.6640625" bestFit="1" customWidth="1"/>
    <col min="10" max="12" width="8.6640625" bestFit="1" customWidth="1"/>
    <col min="13" max="13" width="8.5546875" customWidth="1"/>
    <col min="14" max="15" width="8.6640625" bestFit="1" customWidth="1"/>
    <col min="16" max="16" width="1.109375" customWidth="1"/>
    <col min="17" max="18" width="6.5546875" bestFit="1" customWidth="1"/>
    <col min="19" max="21" width="7.5546875" bestFit="1" customWidth="1"/>
  </cols>
  <sheetData>
    <row r="1" spans="1:21" x14ac:dyDescent="0.3">
      <c r="A1" s="18"/>
      <c r="B1" s="55"/>
      <c r="C1" s="115" t="s">
        <v>16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Q1" s="115" t="s">
        <v>17</v>
      </c>
      <c r="R1" s="116"/>
      <c r="S1" s="116"/>
      <c r="T1" s="116"/>
      <c r="U1" s="117"/>
    </row>
    <row r="2" spans="1:21" ht="15" thickBot="1" x14ac:dyDescent="0.35">
      <c r="A2" s="18"/>
      <c r="B2" s="55"/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</row>
    <row r="3" spans="1:21" ht="15" thickBot="1" x14ac:dyDescent="0.35">
      <c r="A3" s="119" t="s">
        <v>52</v>
      </c>
      <c r="B3" s="56" t="s">
        <v>58</v>
      </c>
      <c r="C3" s="24">
        <f>+'piano di produzione'!B3</f>
        <v>1830</v>
      </c>
      <c r="D3" s="25">
        <f>+'piano di produzione'!C3</f>
        <v>1760</v>
      </c>
      <c r="E3" s="25">
        <f>+'piano di produzione'!D3</f>
        <v>1460</v>
      </c>
      <c r="F3" s="25">
        <f>+'piano di produzione'!E3</f>
        <v>1330</v>
      </c>
      <c r="G3" s="25">
        <f>+'piano di produzione'!F3</f>
        <v>1200</v>
      </c>
      <c r="H3" s="25">
        <f>+'piano di produzione'!G3</f>
        <v>910</v>
      </c>
      <c r="I3" s="25">
        <f>+'piano di produzione'!H3</f>
        <v>960</v>
      </c>
      <c r="J3" s="25">
        <f>+'piano di produzione'!I3</f>
        <v>1210</v>
      </c>
      <c r="K3" s="25">
        <f>+'piano di produzione'!J3</f>
        <v>1680</v>
      </c>
      <c r="L3" s="25">
        <f>+'piano di produzione'!K3</f>
        <v>1980</v>
      </c>
      <c r="M3" s="25">
        <f>+'piano di produzione'!L3</f>
        <v>2270</v>
      </c>
      <c r="N3" s="25">
        <f>+'piano di produzione'!M3</f>
        <v>2470</v>
      </c>
      <c r="O3" s="27">
        <f>+SUM(C3:N3)</f>
        <v>19060</v>
      </c>
      <c r="Q3" s="24">
        <f>+'piano di produzione'!P3</f>
        <v>5340</v>
      </c>
      <c r="R3" s="25">
        <f>+'piano di produzione'!Q3</f>
        <v>3890</v>
      </c>
      <c r="S3" s="25">
        <f>+'piano di produzione'!R3</f>
        <v>4270</v>
      </c>
      <c r="T3" s="26">
        <f>+'piano di produzione'!S3</f>
        <v>7010</v>
      </c>
      <c r="U3" s="27">
        <f>+SUM(Q3:T3)</f>
        <v>20510</v>
      </c>
    </row>
    <row r="4" spans="1:21" ht="15" thickBot="1" x14ac:dyDescent="0.35">
      <c r="A4" s="120"/>
      <c r="B4" s="57" t="s">
        <v>59</v>
      </c>
      <c r="C4" s="28">
        <f>+'piano di produzione'!B4</f>
        <v>1130</v>
      </c>
      <c r="D4" s="29">
        <f>+'piano di produzione'!C4</f>
        <v>1040</v>
      </c>
      <c r="E4" s="29">
        <f>+'piano di produzione'!D4</f>
        <v>1090</v>
      </c>
      <c r="F4" s="29">
        <f>+'piano di produzione'!E4</f>
        <v>1250</v>
      </c>
      <c r="G4" s="29">
        <f>+'piano di produzione'!F4</f>
        <v>1680</v>
      </c>
      <c r="H4" s="29">
        <f>+'piano di produzione'!G4</f>
        <v>1940</v>
      </c>
      <c r="I4" s="29">
        <f>+'piano di produzione'!H4</f>
        <v>2130</v>
      </c>
      <c r="J4" s="29">
        <f>+'piano di produzione'!I4</f>
        <v>2100</v>
      </c>
      <c r="K4" s="29">
        <f>+'piano di produzione'!J4</f>
        <v>1880</v>
      </c>
      <c r="L4" s="29">
        <f>+'piano di produzione'!K4</f>
        <v>1710</v>
      </c>
      <c r="M4" s="29">
        <f>+'piano di produzione'!L4</f>
        <v>1500</v>
      </c>
      <c r="N4" s="30">
        <f>+'piano di produzione'!M4</f>
        <v>1400</v>
      </c>
      <c r="O4" s="49">
        <f>+SUM(C4:N4)</f>
        <v>18850</v>
      </c>
      <c r="Q4" s="28">
        <f>+'piano di produzione'!P4</f>
        <v>3030</v>
      </c>
      <c r="R4" s="29">
        <f>+'piano di produzione'!Q4</f>
        <v>4380</v>
      </c>
      <c r="S4" s="29">
        <f>+'piano di produzione'!R4</f>
        <v>5830</v>
      </c>
      <c r="T4" s="30">
        <f>+'piano di produzione'!S4</f>
        <v>4560</v>
      </c>
      <c r="U4" s="31">
        <f>+SUM(Q4:T4)</f>
        <v>17800</v>
      </c>
    </row>
    <row r="5" spans="1:21" ht="15" thickBot="1" x14ac:dyDescent="0.35">
      <c r="B5" s="9" t="s">
        <v>1</v>
      </c>
      <c r="C5" s="28">
        <f>+C3+C4</f>
        <v>2960</v>
      </c>
      <c r="D5" s="28">
        <f t="shared" ref="D5:N5" si="0">+D3+D4</f>
        <v>2800</v>
      </c>
      <c r="E5" s="28">
        <f t="shared" si="0"/>
        <v>2550</v>
      </c>
      <c r="F5" s="28">
        <f t="shared" si="0"/>
        <v>2580</v>
      </c>
      <c r="G5" s="28">
        <f t="shared" si="0"/>
        <v>2880</v>
      </c>
      <c r="H5" s="28">
        <f t="shared" si="0"/>
        <v>2850</v>
      </c>
      <c r="I5" s="28">
        <f t="shared" si="0"/>
        <v>3090</v>
      </c>
      <c r="J5" s="28">
        <f t="shared" si="0"/>
        <v>3310</v>
      </c>
      <c r="K5" s="28">
        <f t="shared" si="0"/>
        <v>3560</v>
      </c>
      <c r="L5" s="28">
        <f t="shared" si="0"/>
        <v>3690</v>
      </c>
      <c r="M5" s="28">
        <f t="shared" si="0"/>
        <v>3770</v>
      </c>
      <c r="N5" s="28">
        <f t="shared" si="0"/>
        <v>3870</v>
      </c>
      <c r="O5" s="49">
        <f>+SUM(C5:N5)</f>
        <v>37910</v>
      </c>
      <c r="Q5" s="28">
        <f>+Q3+Q4</f>
        <v>8370</v>
      </c>
      <c r="R5" s="28">
        <f>+R3+R4</f>
        <v>8270</v>
      </c>
      <c r="S5" s="28">
        <f>+S3+S4</f>
        <v>10100</v>
      </c>
      <c r="T5" s="28">
        <f>+T3+T4</f>
        <v>11570</v>
      </c>
      <c r="U5" s="31">
        <f>+SUM(Q5:T5)</f>
        <v>38310</v>
      </c>
    </row>
    <row r="6" spans="1:21" x14ac:dyDescent="0.3">
      <c r="B6" s="9"/>
    </row>
    <row r="7" spans="1:21" x14ac:dyDescent="0.3">
      <c r="A7" t="s">
        <v>145</v>
      </c>
      <c r="B7" s="9"/>
    </row>
    <row r="8" spans="1:21" ht="15" thickBot="1" x14ac:dyDescent="0.35">
      <c r="B8" s="9"/>
    </row>
    <row r="9" spans="1:21" ht="15" thickBot="1" x14ac:dyDescent="0.35">
      <c r="A9" s="121" t="s">
        <v>60</v>
      </c>
      <c r="B9" s="56" t="s">
        <v>58</v>
      </c>
      <c r="C9" s="24">
        <f>+C24</f>
        <v>1250</v>
      </c>
      <c r="D9" s="25">
        <f t="shared" ref="D9:N9" si="1">+D24</f>
        <v>1250</v>
      </c>
      <c r="E9" s="25">
        <f t="shared" si="1"/>
        <v>1250</v>
      </c>
      <c r="F9" s="25">
        <f t="shared" si="1"/>
        <v>1250</v>
      </c>
      <c r="G9" s="25">
        <f t="shared" si="1"/>
        <v>1250</v>
      </c>
      <c r="H9" s="25">
        <f t="shared" si="1"/>
        <v>1500</v>
      </c>
      <c r="I9" s="25">
        <f t="shared" si="1"/>
        <v>1500</v>
      </c>
      <c r="J9" s="25">
        <f t="shared" si="1"/>
        <v>0</v>
      </c>
      <c r="K9" s="25">
        <f t="shared" si="1"/>
        <v>2000</v>
      </c>
      <c r="L9" s="25">
        <f t="shared" si="1"/>
        <v>2000</v>
      </c>
      <c r="M9" s="25">
        <f t="shared" si="1"/>
        <v>2000</v>
      </c>
      <c r="N9" s="25">
        <f t="shared" si="1"/>
        <v>2000</v>
      </c>
      <c r="O9" s="27">
        <f>+SUM(C9:N9)</f>
        <v>17250</v>
      </c>
      <c r="Q9" s="25">
        <f>+'piano di produzione'!P11</f>
        <v>6000</v>
      </c>
      <c r="R9" s="25">
        <f>+'piano di produzione'!Q11</f>
        <v>4500</v>
      </c>
      <c r="S9" s="25">
        <f>+'piano di produzione'!R11</f>
        <v>3000</v>
      </c>
      <c r="T9" s="25">
        <f>+'piano di produzione'!S11</f>
        <v>4500</v>
      </c>
      <c r="U9" s="27">
        <f>+SUM(Q9:T9)</f>
        <v>18000</v>
      </c>
    </row>
    <row r="10" spans="1:21" ht="15" thickBot="1" x14ac:dyDescent="0.35">
      <c r="A10" s="121"/>
      <c r="B10" s="57" t="s">
        <v>59</v>
      </c>
      <c r="C10" s="28">
        <f>+C31</f>
        <v>2250</v>
      </c>
      <c r="D10" s="29">
        <f t="shared" ref="D10:N10" si="2">+D31</f>
        <v>2250</v>
      </c>
      <c r="E10" s="29">
        <f t="shared" si="2"/>
        <v>2250</v>
      </c>
      <c r="F10" s="29">
        <f t="shared" si="2"/>
        <v>2250</v>
      </c>
      <c r="G10" s="29">
        <f t="shared" si="2"/>
        <v>2250</v>
      </c>
      <c r="H10" s="29">
        <f t="shared" si="2"/>
        <v>1750</v>
      </c>
      <c r="I10" s="29">
        <f t="shared" si="2"/>
        <v>1750</v>
      </c>
      <c r="J10" s="29">
        <f t="shared" si="2"/>
        <v>0</v>
      </c>
      <c r="K10" s="29">
        <f t="shared" si="2"/>
        <v>1000</v>
      </c>
      <c r="L10" s="29">
        <f t="shared" si="2"/>
        <v>1000</v>
      </c>
      <c r="M10" s="29">
        <f t="shared" si="2"/>
        <v>1250</v>
      </c>
      <c r="N10" s="30">
        <f t="shared" si="2"/>
        <v>1250</v>
      </c>
      <c r="O10" s="49">
        <f>+SUM(C10:N10)</f>
        <v>19250</v>
      </c>
      <c r="Q10" s="25">
        <f>+'piano di produzione'!P12</f>
        <v>4000</v>
      </c>
      <c r="R10" s="25">
        <f>+'piano di produzione'!Q12</f>
        <v>6000</v>
      </c>
      <c r="S10" s="25">
        <f>+'piano di produzione'!R12</f>
        <v>4000</v>
      </c>
      <c r="T10" s="25">
        <f>+'piano di produzione'!S12</f>
        <v>6000</v>
      </c>
      <c r="U10" s="31">
        <f>+SUM(Q10:T10)</f>
        <v>20000</v>
      </c>
    </row>
    <row r="11" spans="1:21" ht="15" thickBot="1" x14ac:dyDescent="0.35">
      <c r="A11" s="121"/>
      <c r="B11" s="9" t="s">
        <v>1</v>
      </c>
      <c r="C11" s="28">
        <f>+C9+C10</f>
        <v>3500</v>
      </c>
      <c r="D11" s="28">
        <f t="shared" ref="D11:T11" si="3">+D9+D10</f>
        <v>3500</v>
      </c>
      <c r="E11" s="28">
        <f t="shared" si="3"/>
        <v>3500</v>
      </c>
      <c r="F11" s="28">
        <f t="shared" si="3"/>
        <v>3500</v>
      </c>
      <c r="G11" s="28">
        <f t="shared" si="3"/>
        <v>3500</v>
      </c>
      <c r="H11" s="28">
        <f t="shared" si="3"/>
        <v>3250</v>
      </c>
      <c r="I11" s="28">
        <f t="shared" si="3"/>
        <v>3250</v>
      </c>
      <c r="J11" s="28">
        <f t="shared" si="3"/>
        <v>0</v>
      </c>
      <c r="K11" s="28">
        <f t="shared" si="3"/>
        <v>3000</v>
      </c>
      <c r="L11" s="28">
        <f t="shared" si="3"/>
        <v>3000</v>
      </c>
      <c r="M11" s="28">
        <f t="shared" si="3"/>
        <v>3250</v>
      </c>
      <c r="N11" s="28">
        <f t="shared" si="3"/>
        <v>3250</v>
      </c>
      <c r="O11" s="28">
        <f t="shared" si="3"/>
        <v>36500</v>
      </c>
      <c r="Q11" s="28">
        <f t="shared" si="3"/>
        <v>10000</v>
      </c>
      <c r="R11" s="28">
        <f t="shared" si="3"/>
        <v>10500</v>
      </c>
      <c r="S11" s="28">
        <f t="shared" si="3"/>
        <v>7000</v>
      </c>
      <c r="T11" s="28">
        <f t="shared" si="3"/>
        <v>10500</v>
      </c>
      <c r="U11" s="31">
        <f>+SUM(Q11:T11)</f>
        <v>38000</v>
      </c>
    </row>
    <row r="12" spans="1:21" x14ac:dyDescent="0.3">
      <c r="B12" s="55"/>
    </row>
    <row r="13" spans="1:21" x14ac:dyDescent="0.3">
      <c r="B13" s="55" t="s">
        <v>61</v>
      </c>
      <c r="C13" s="58">
        <f>+ROUTING!C22</f>
        <v>0.97916666666666663</v>
      </c>
      <c r="D13" s="58">
        <f>+ROUTING!D22</f>
        <v>0.97916666666666663</v>
      </c>
      <c r="E13" s="58">
        <f>+ROUTING!E22</f>
        <v>0.97916666666666663</v>
      </c>
      <c r="F13" s="58">
        <f>+ROUTING!F22</f>
        <v>0.97916666666666663</v>
      </c>
      <c r="G13" s="58">
        <f>+ROUTING!G22</f>
        <v>0.97916666666666663</v>
      </c>
      <c r="H13" s="58">
        <f>+ROUTING!H22</f>
        <v>0.9375</v>
      </c>
      <c r="I13" s="58">
        <f>+ROUTING!I22</f>
        <v>0.9375</v>
      </c>
      <c r="J13" s="58">
        <f>+ROUTING!J22</f>
        <v>0</v>
      </c>
      <c r="K13" s="58">
        <f>+ROUTING!K22</f>
        <v>0.91666666666666663</v>
      </c>
      <c r="L13" s="58">
        <f>+ROUTING!L22</f>
        <v>0.91666666666666663</v>
      </c>
      <c r="M13" s="58">
        <f>+ROUTING!M22</f>
        <v>0.97916666666666663</v>
      </c>
      <c r="N13" s="58">
        <f>+ROUTING!N22</f>
        <v>0.97916666666666663</v>
      </c>
      <c r="O13" s="58"/>
    </row>
    <row r="14" spans="1:21" x14ac:dyDescent="0.3">
      <c r="B14" s="18"/>
    </row>
    <row r="15" spans="1:21" x14ac:dyDescent="0.3">
      <c r="A15" s="9" t="s">
        <v>34</v>
      </c>
      <c r="B15" s="32">
        <v>2</v>
      </c>
      <c r="C15" s="32"/>
      <c r="D15" s="32"/>
      <c r="E15" s="59" t="s">
        <v>62</v>
      </c>
      <c r="F15" s="60">
        <f>+O3+N16-B16</f>
        <v>17250</v>
      </c>
      <c r="G15" s="32"/>
      <c r="H15" s="32"/>
      <c r="I15" s="32"/>
      <c r="J15" s="32"/>
      <c r="K15" s="32"/>
      <c r="L15" s="32"/>
      <c r="M15" s="9" t="s">
        <v>35</v>
      </c>
      <c r="N15" s="32">
        <v>1</v>
      </c>
      <c r="O15" s="32"/>
      <c r="Q15" s="32"/>
      <c r="R15" s="32"/>
      <c r="S15" s="32"/>
      <c r="T15" s="32"/>
    </row>
    <row r="16" spans="1:21" x14ac:dyDescent="0.3">
      <c r="A16" s="9" t="s">
        <v>141</v>
      </c>
      <c r="B16" s="53">
        <f>+C3+D3</f>
        <v>3590</v>
      </c>
      <c r="M16" s="9" t="s">
        <v>144</v>
      </c>
      <c r="N16" s="53">
        <f>+Q3/3</f>
        <v>1780</v>
      </c>
      <c r="O16" s="33"/>
    </row>
    <row r="17" spans="1:18" x14ac:dyDescent="0.3">
      <c r="A17" s="9"/>
    </row>
    <row r="18" spans="1:18" x14ac:dyDescent="0.3">
      <c r="A18" s="9" t="s">
        <v>34</v>
      </c>
      <c r="B18" s="32">
        <v>1</v>
      </c>
      <c r="C18" s="32"/>
      <c r="D18" s="32"/>
      <c r="E18" s="59" t="s">
        <v>62</v>
      </c>
      <c r="F18" s="60">
        <f>+O4+N19-B19</f>
        <v>19235</v>
      </c>
      <c r="G18" s="32"/>
      <c r="H18" s="32"/>
      <c r="I18" s="32"/>
      <c r="J18" s="32"/>
      <c r="K18" s="32"/>
      <c r="L18" s="32"/>
      <c r="M18" s="9" t="s">
        <v>35</v>
      </c>
      <c r="N18" s="32">
        <v>1.5</v>
      </c>
    </row>
    <row r="19" spans="1:18" x14ac:dyDescent="0.3">
      <c r="A19" s="9" t="s">
        <v>142</v>
      </c>
      <c r="B19" s="53">
        <f>+C4</f>
        <v>1130</v>
      </c>
      <c r="M19" s="9" t="s">
        <v>143</v>
      </c>
      <c r="N19" s="53">
        <f>+Q4/2</f>
        <v>1515</v>
      </c>
    </row>
    <row r="20" spans="1:18" x14ac:dyDescent="0.3">
      <c r="A20" s="9"/>
      <c r="B20" s="35"/>
      <c r="C20" s="35"/>
      <c r="D20" s="35"/>
      <c r="E20" s="35"/>
      <c r="G20" s="35"/>
      <c r="H20" s="35"/>
      <c r="I20" s="35"/>
      <c r="J20" s="36"/>
      <c r="K20" s="35"/>
      <c r="L20" s="35"/>
      <c r="M20" s="35"/>
      <c r="N20" s="35"/>
      <c r="O20" s="35"/>
      <c r="P20" s="35"/>
      <c r="Q20" s="35"/>
    </row>
    <row r="21" spans="1:18" ht="15" thickBot="1" x14ac:dyDescent="0.35">
      <c r="A21" s="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8" x14ac:dyDescent="0.3">
      <c r="A22" s="37" t="s">
        <v>36</v>
      </c>
      <c r="B22" s="38"/>
      <c r="C22" s="38">
        <f>+B26</f>
        <v>3590</v>
      </c>
      <c r="D22" s="38">
        <f t="shared" ref="D22:N22" si="4">+C26</f>
        <v>3010</v>
      </c>
      <c r="E22" s="38">
        <f t="shared" si="4"/>
        <v>2500</v>
      </c>
      <c r="F22" s="38">
        <f t="shared" si="4"/>
        <v>2290</v>
      </c>
      <c r="G22" s="38">
        <f t="shared" si="4"/>
        <v>2210</v>
      </c>
      <c r="H22" s="38">
        <f t="shared" si="4"/>
        <v>2260</v>
      </c>
      <c r="I22" s="38">
        <f t="shared" si="4"/>
        <v>2850</v>
      </c>
      <c r="J22" s="38">
        <f t="shared" si="4"/>
        <v>3390</v>
      </c>
      <c r="K22" s="38">
        <f t="shared" si="4"/>
        <v>2180</v>
      </c>
      <c r="L22" s="38">
        <f t="shared" si="4"/>
        <v>2500</v>
      </c>
      <c r="M22" s="38">
        <f t="shared" si="4"/>
        <v>2520</v>
      </c>
      <c r="N22" s="38">
        <f t="shared" si="4"/>
        <v>2250</v>
      </c>
      <c r="O22" s="39"/>
      <c r="P22" s="35"/>
      <c r="Q22" s="35"/>
    </row>
    <row r="23" spans="1:18" x14ac:dyDescent="0.3">
      <c r="A23" s="40" t="s">
        <v>55</v>
      </c>
      <c r="B23" s="41"/>
      <c r="C23" s="41">
        <f t="shared" ref="C23:N23" si="5">-C3</f>
        <v>-1830</v>
      </c>
      <c r="D23" s="41">
        <f t="shared" si="5"/>
        <v>-1760</v>
      </c>
      <c r="E23" s="41">
        <f t="shared" si="5"/>
        <v>-1460</v>
      </c>
      <c r="F23" s="41">
        <f t="shared" si="5"/>
        <v>-1330</v>
      </c>
      <c r="G23" s="41">
        <f t="shared" si="5"/>
        <v>-1200</v>
      </c>
      <c r="H23" s="41">
        <f t="shared" si="5"/>
        <v>-910</v>
      </c>
      <c r="I23" s="41">
        <f t="shared" si="5"/>
        <v>-960</v>
      </c>
      <c r="J23" s="41">
        <f t="shared" si="5"/>
        <v>-1210</v>
      </c>
      <c r="K23" s="41">
        <f t="shared" si="5"/>
        <v>-1680</v>
      </c>
      <c r="L23" s="41">
        <f t="shared" si="5"/>
        <v>-1980</v>
      </c>
      <c r="M23" s="41">
        <f t="shared" si="5"/>
        <v>-2270</v>
      </c>
      <c r="N23" s="41">
        <f t="shared" si="5"/>
        <v>-2470</v>
      </c>
      <c r="O23" s="42">
        <f>+SUM(C23:N23)</f>
        <v>-19060</v>
      </c>
      <c r="P23" s="35"/>
      <c r="Q23" s="35"/>
    </row>
    <row r="24" spans="1:18" x14ac:dyDescent="0.3">
      <c r="A24" s="40" t="s">
        <v>56</v>
      </c>
      <c r="B24" s="41"/>
      <c r="C24" s="54">
        <v>1250</v>
      </c>
      <c r="D24" s="54">
        <f>+C24</f>
        <v>1250</v>
      </c>
      <c r="E24" s="54">
        <f t="shared" ref="E24:G24" si="6">+D24</f>
        <v>1250</v>
      </c>
      <c r="F24" s="54">
        <f t="shared" si="6"/>
        <v>1250</v>
      </c>
      <c r="G24" s="54">
        <f t="shared" si="6"/>
        <v>1250</v>
      </c>
      <c r="H24" s="54">
        <v>1500</v>
      </c>
      <c r="I24" s="54">
        <v>1500</v>
      </c>
      <c r="J24" s="64">
        <v>0</v>
      </c>
      <c r="K24" s="54">
        <v>2000</v>
      </c>
      <c r="L24" s="54">
        <v>2000</v>
      </c>
      <c r="M24" s="54">
        <v>2000</v>
      </c>
      <c r="N24" s="54">
        <v>2000</v>
      </c>
      <c r="O24" s="42">
        <f>+SUM(C24:N24)</f>
        <v>17250</v>
      </c>
      <c r="P24" s="35"/>
      <c r="Q24" s="35"/>
    </row>
    <row r="25" spans="1:18" x14ac:dyDescent="0.3">
      <c r="A25" s="43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2">
        <f>+SUM(C25:N25)</f>
        <v>0</v>
      </c>
      <c r="P25" s="35"/>
      <c r="Q25" s="35"/>
    </row>
    <row r="26" spans="1:18" x14ac:dyDescent="0.3">
      <c r="A26" s="40" t="s">
        <v>38</v>
      </c>
      <c r="B26" s="41">
        <f>+B16</f>
        <v>3590</v>
      </c>
      <c r="C26" s="41">
        <f>+SUM(C22:C25)</f>
        <v>3010</v>
      </c>
      <c r="D26" s="41">
        <f t="shared" ref="D26:N26" si="7">+SUM(D22:D25)</f>
        <v>2500</v>
      </c>
      <c r="E26" s="41">
        <f t="shared" si="7"/>
        <v>2290</v>
      </c>
      <c r="F26" s="41">
        <f t="shared" si="7"/>
        <v>2210</v>
      </c>
      <c r="G26" s="41">
        <f t="shared" si="7"/>
        <v>2260</v>
      </c>
      <c r="H26" s="41">
        <f t="shared" si="7"/>
        <v>2850</v>
      </c>
      <c r="I26" s="41">
        <f t="shared" si="7"/>
        <v>3390</v>
      </c>
      <c r="J26" s="41">
        <f t="shared" si="7"/>
        <v>2180</v>
      </c>
      <c r="K26" s="41">
        <f t="shared" si="7"/>
        <v>2500</v>
      </c>
      <c r="L26" s="41">
        <f t="shared" si="7"/>
        <v>2520</v>
      </c>
      <c r="M26" s="41">
        <f t="shared" si="7"/>
        <v>2250</v>
      </c>
      <c r="N26" s="41">
        <f t="shared" si="7"/>
        <v>1780</v>
      </c>
      <c r="O26" s="42"/>
      <c r="P26" s="35"/>
      <c r="Q26" s="35">
        <f>+AVERAGE(B26:N26)</f>
        <v>2563.8461538461538</v>
      </c>
      <c r="R26" t="s">
        <v>146</v>
      </c>
    </row>
    <row r="27" spans="1:18" x14ac:dyDescent="0.3">
      <c r="A27" s="5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35"/>
    </row>
    <row r="28" spans="1:18" s="52" customFormat="1" x14ac:dyDescent="0.3">
      <c r="A28" s="5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8" x14ac:dyDescent="0.3">
      <c r="A29" s="40" t="s">
        <v>36</v>
      </c>
      <c r="B29" s="41"/>
      <c r="C29" s="41">
        <f>+B33</f>
        <v>1130</v>
      </c>
      <c r="D29" s="41">
        <f t="shared" ref="D29:N29" si="8">+C33</f>
        <v>2250</v>
      </c>
      <c r="E29" s="41">
        <f t="shared" si="8"/>
        <v>3460</v>
      </c>
      <c r="F29" s="41">
        <f t="shared" si="8"/>
        <v>4620</v>
      </c>
      <c r="G29" s="41">
        <f t="shared" si="8"/>
        <v>5620</v>
      </c>
      <c r="H29" s="41">
        <f t="shared" si="8"/>
        <v>6190</v>
      </c>
      <c r="I29" s="41">
        <f t="shared" si="8"/>
        <v>6000</v>
      </c>
      <c r="J29" s="41">
        <f t="shared" si="8"/>
        <v>5620</v>
      </c>
      <c r="K29" s="41">
        <f t="shared" si="8"/>
        <v>3520</v>
      </c>
      <c r="L29" s="41">
        <f t="shared" si="8"/>
        <v>2640</v>
      </c>
      <c r="M29" s="41">
        <f t="shared" si="8"/>
        <v>1930</v>
      </c>
      <c r="N29" s="41">
        <f t="shared" si="8"/>
        <v>1680</v>
      </c>
      <c r="O29" s="42"/>
      <c r="P29" s="35"/>
      <c r="Q29" s="35"/>
    </row>
    <row r="30" spans="1:18" x14ac:dyDescent="0.3">
      <c r="A30" s="40" t="s">
        <v>55</v>
      </c>
      <c r="B30" s="41"/>
      <c r="C30" s="41">
        <f t="shared" ref="C30:N30" si="9">-C4</f>
        <v>-1130</v>
      </c>
      <c r="D30" s="41">
        <f t="shared" si="9"/>
        <v>-1040</v>
      </c>
      <c r="E30" s="41">
        <f t="shared" si="9"/>
        <v>-1090</v>
      </c>
      <c r="F30" s="41">
        <f t="shared" si="9"/>
        <v>-1250</v>
      </c>
      <c r="G30" s="41">
        <f t="shared" si="9"/>
        <v>-1680</v>
      </c>
      <c r="H30" s="41">
        <f t="shared" si="9"/>
        <v>-1940</v>
      </c>
      <c r="I30" s="41">
        <f t="shared" si="9"/>
        <v>-2130</v>
      </c>
      <c r="J30" s="41">
        <f t="shared" si="9"/>
        <v>-2100</v>
      </c>
      <c r="K30" s="41">
        <f t="shared" si="9"/>
        <v>-1880</v>
      </c>
      <c r="L30" s="41">
        <f t="shared" si="9"/>
        <v>-1710</v>
      </c>
      <c r="M30" s="41">
        <f t="shared" si="9"/>
        <v>-1500</v>
      </c>
      <c r="N30" s="41">
        <f t="shared" si="9"/>
        <v>-1400</v>
      </c>
      <c r="O30" s="42">
        <f>+SUM(C30:N30)</f>
        <v>-18850</v>
      </c>
      <c r="P30" s="35"/>
      <c r="Q30" s="35"/>
    </row>
    <row r="31" spans="1:18" x14ac:dyDescent="0.3">
      <c r="A31" s="40" t="s">
        <v>56</v>
      </c>
      <c r="B31" s="41"/>
      <c r="C31" s="54">
        <v>2250</v>
      </c>
      <c r="D31" s="54">
        <v>2250</v>
      </c>
      <c r="E31" s="54">
        <v>2250</v>
      </c>
      <c r="F31" s="54">
        <v>2250</v>
      </c>
      <c r="G31" s="54">
        <v>2250</v>
      </c>
      <c r="H31" s="54">
        <v>1750</v>
      </c>
      <c r="I31" s="54">
        <v>1750</v>
      </c>
      <c r="J31" s="64">
        <v>0</v>
      </c>
      <c r="K31" s="54">
        <v>1000</v>
      </c>
      <c r="L31" s="54">
        <v>1000</v>
      </c>
      <c r="M31" s="54">
        <v>1250</v>
      </c>
      <c r="N31" s="54">
        <v>1250</v>
      </c>
      <c r="O31" s="42">
        <f>+SUM(C31:N31)</f>
        <v>19250</v>
      </c>
      <c r="P31" s="35"/>
      <c r="Q31" s="35"/>
    </row>
    <row r="32" spans="1:18" x14ac:dyDescent="0.3">
      <c r="A32" s="43" t="s">
        <v>37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>
        <f>+SUM(C32:N32)</f>
        <v>0</v>
      </c>
      <c r="P32" s="35"/>
      <c r="Q32" s="35"/>
    </row>
    <row r="33" spans="1:18" x14ac:dyDescent="0.3">
      <c r="A33" s="40" t="s">
        <v>38</v>
      </c>
      <c r="B33" s="41">
        <f>+B19</f>
        <v>1130</v>
      </c>
      <c r="C33" s="41">
        <f>+SUM(C29:C32)</f>
        <v>2250</v>
      </c>
      <c r="D33" s="41">
        <f t="shared" ref="D33:N33" si="10">+SUM(D29:D32)</f>
        <v>3460</v>
      </c>
      <c r="E33" s="41">
        <f t="shared" si="10"/>
        <v>4620</v>
      </c>
      <c r="F33" s="41">
        <f t="shared" si="10"/>
        <v>5620</v>
      </c>
      <c r="G33" s="41">
        <f t="shared" si="10"/>
        <v>6190</v>
      </c>
      <c r="H33" s="41">
        <f t="shared" si="10"/>
        <v>6000</v>
      </c>
      <c r="I33" s="41">
        <f t="shared" si="10"/>
        <v>5620</v>
      </c>
      <c r="J33" s="41">
        <f t="shared" si="10"/>
        <v>3520</v>
      </c>
      <c r="K33" s="41">
        <f t="shared" si="10"/>
        <v>2640</v>
      </c>
      <c r="L33" s="41">
        <f t="shared" si="10"/>
        <v>1930</v>
      </c>
      <c r="M33" s="41">
        <f t="shared" si="10"/>
        <v>1680</v>
      </c>
      <c r="N33" s="41">
        <f t="shared" si="10"/>
        <v>1530</v>
      </c>
      <c r="O33" s="42"/>
      <c r="Q33" s="35">
        <f>+AVERAGE(B33:N33)</f>
        <v>3553.0769230769229</v>
      </c>
      <c r="R33" t="s">
        <v>146</v>
      </c>
    </row>
    <row r="34" spans="1:18" x14ac:dyDescent="0.3">
      <c r="A34" s="5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35"/>
    </row>
    <row r="35" spans="1:18" x14ac:dyDescent="0.3">
      <c r="A35" s="5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8" x14ac:dyDescent="0.3">
      <c r="A36" s="9"/>
    </row>
    <row r="37" spans="1:18" x14ac:dyDescent="0.3">
      <c r="A37" s="9"/>
    </row>
    <row r="38" spans="1:18" x14ac:dyDescent="0.3">
      <c r="A38" s="9"/>
    </row>
    <row r="39" spans="1:18" x14ac:dyDescent="0.3">
      <c r="A39" s="9"/>
    </row>
    <row r="40" spans="1:18" x14ac:dyDescent="0.3">
      <c r="A40" s="9"/>
    </row>
    <row r="41" spans="1:18" x14ac:dyDescent="0.3">
      <c r="A41" s="9"/>
    </row>
    <row r="42" spans="1:18" x14ac:dyDescent="0.3">
      <c r="A42" s="9"/>
    </row>
    <row r="43" spans="1:18" x14ac:dyDescent="0.3">
      <c r="A43" s="9"/>
    </row>
    <row r="44" spans="1:18" x14ac:dyDescent="0.3">
      <c r="A44" s="9"/>
    </row>
  </sheetData>
  <mergeCells count="4">
    <mergeCell ref="C1:O1"/>
    <mergeCell ref="Q1:U1"/>
    <mergeCell ref="A3:A4"/>
    <mergeCell ref="A9:A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27CF-9829-433B-8A07-9F9D37992779}">
  <dimension ref="A1:U43"/>
  <sheetViews>
    <sheetView tabSelected="1" zoomScale="110" zoomScaleNormal="110" workbookViewId="0">
      <pane xSplit="2" ySplit="2" topLeftCell="C22" activePane="bottomRight" state="frozen"/>
      <selection pane="topRight" activeCell="C1" sqref="C1"/>
      <selection pane="bottomLeft" activeCell="A3" sqref="A3"/>
      <selection pane="bottomRight" activeCell="D38" sqref="D38"/>
    </sheetView>
  </sheetViews>
  <sheetFormatPr defaultRowHeight="14.4" x14ac:dyDescent="0.3"/>
  <cols>
    <col min="1" max="1" width="43" customWidth="1"/>
    <col min="2" max="2" width="9.77734375" customWidth="1"/>
    <col min="3" max="5" width="7.6640625" bestFit="1" customWidth="1"/>
    <col min="6" max="6" width="10.33203125" bestFit="1" customWidth="1"/>
    <col min="7" max="9" width="7.6640625" bestFit="1" customWidth="1"/>
    <col min="10" max="12" width="8.6640625" bestFit="1" customWidth="1"/>
    <col min="13" max="13" width="8.5546875" customWidth="1"/>
    <col min="14" max="14" width="8.6640625" bestFit="1" customWidth="1"/>
    <col min="15" max="15" width="9.109375" bestFit="1" customWidth="1"/>
    <col min="16" max="16" width="1.109375" customWidth="1"/>
    <col min="17" max="18" width="6.5546875" bestFit="1" customWidth="1"/>
    <col min="19" max="21" width="7.5546875" bestFit="1" customWidth="1"/>
  </cols>
  <sheetData>
    <row r="1" spans="1:21" x14ac:dyDescent="0.3">
      <c r="A1" s="18"/>
      <c r="B1" s="55"/>
      <c r="C1" s="115" t="s">
        <v>16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Q1" s="115" t="s">
        <v>17</v>
      </c>
      <c r="R1" s="116"/>
      <c r="S1" s="116"/>
      <c r="T1" s="116"/>
      <c r="U1" s="117"/>
    </row>
    <row r="2" spans="1:21" x14ac:dyDescent="0.3">
      <c r="A2" s="18"/>
      <c r="B2" s="55"/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</row>
    <row r="3" spans="1:21" ht="15" thickBot="1" x14ac:dyDescent="0.35">
      <c r="B3" s="5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1" ht="15" thickBot="1" x14ac:dyDescent="0.35">
      <c r="A4" s="121" t="s">
        <v>60</v>
      </c>
      <c r="B4" s="56" t="s">
        <v>58</v>
      </c>
      <c r="C4" s="24">
        <f>+'budget scorte prodotti fin'!C9</f>
        <v>1250</v>
      </c>
      <c r="D4" s="24">
        <f>+'budget scorte prodotti fin'!D9</f>
        <v>1250</v>
      </c>
      <c r="E4" s="24">
        <f>+'budget scorte prodotti fin'!E9</f>
        <v>1250</v>
      </c>
      <c r="F4" s="24">
        <f>+'budget scorte prodotti fin'!F9</f>
        <v>1250</v>
      </c>
      <c r="G4" s="24">
        <f>+'budget scorte prodotti fin'!G9</f>
        <v>1250</v>
      </c>
      <c r="H4" s="24">
        <f>+'budget scorte prodotti fin'!H9</f>
        <v>1500</v>
      </c>
      <c r="I4" s="24">
        <f>+'budget scorte prodotti fin'!I9</f>
        <v>1500</v>
      </c>
      <c r="J4" s="24">
        <f>+'budget scorte prodotti fin'!J9</f>
        <v>0</v>
      </c>
      <c r="K4" s="24">
        <f>+'budget scorte prodotti fin'!K9</f>
        <v>2000</v>
      </c>
      <c r="L4" s="24">
        <f>+'budget scorte prodotti fin'!L9</f>
        <v>2000</v>
      </c>
      <c r="M4" s="24">
        <f>+'budget scorte prodotti fin'!M9</f>
        <v>2000</v>
      </c>
      <c r="N4" s="24">
        <f>+'budget scorte prodotti fin'!N9</f>
        <v>2000</v>
      </c>
      <c r="O4" s="27">
        <f>+SUM(C4:N4)</f>
        <v>17250</v>
      </c>
    </row>
    <row r="5" spans="1:21" ht="15" thickBot="1" x14ac:dyDescent="0.35">
      <c r="A5" s="121"/>
      <c r="B5" s="57" t="s">
        <v>59</v>
      </c>
      <c r="C5" s="24">
        <f>+'budget scorte prodotti fin'!C10</f>
        <v>2250</v>
      </c>
      <c r="D5" s="24">
        <f>+'budget scorte prodotti fin'!D10</f>
        <v>2250</v>
      </c>
      <c r="E5" s="24">
        <f>+'budget scorte prodotti fin'!E10</f>
        <v>2250</v>
      </c>
      <c r="F5" s="24">
        <f>+'budget scorte prodotti fin'!F10</f>
        <v>2250</v>
      </c>
      <c r="G5" s="24">
        <f>+'budget scorte prodotti fin'!G10</f>
        <v>2250</v>
      </c>
      <c r="H5" s="24">
        <f>+'budget scorte prodotti fin'!H10</f>
        <v>1750</v>
      </c>
      <c r="I5" s="24">
        <f>+'budget scorte prodotti fin'!I10</f>
        <v>1750</v>
      </c>
      <c r="J5" s="24">
        <f>+'budget scorte prodotti fin'!J10</f>
        <v>0</v>
      </c>
      <c r="K5" s="24">
        <f>+'budget scorte prodotti fin'!K10</f>
        <v>1000</v>
      </c>
      <c r="L5" s="24">
        <f>+'budget scorte prodotti fin'!L10</f>
        <v>1000</v>
      </c>
      <c r="M5" s="24">
        <f>+'budget scorte prodotti fin'!M10</f>
        <v>1250</v>
      </c>
      <c r="N5" s="24">
        <f>+'budget scorte prodotti fin'!N10</f>
        <v>1250</v>
      </c>
      <c r="O5" s="49">
        <f>+SUM(C5:N5)</f>
        <v>19250</v>
      </c>
    </row>
    <row r="6" spans="1:21" ht="15" thickBot="1" x14ac:dyDescent="0.35">
      <c r="A6" s="121"/>
      <c r="B6" s="9" t="s">
        <v>1</v>
      </c>
      <c r="C6" s="28">
        <f>+C4+C5</f>
        <v>3500</v>
      </c>
      <c r="D6" s="28">
        <f t="shared" ref="D6:O6" si="0">+D4+D5</f>
        <v>3500</v>
      </c>
      <c r="E6" s="28">
        <f t="shared" si="0"/>
        <v>3500</v>
      </c>
      <c r="F6" s="28">
        <f t="shared" si="0"/>
        <v>3500</v>
      </c>
      <c r="G6" s="28">
        <f t="shared" si="0"/>
        <v>3500</v>
      </c>
      <c r="H6" s="28">
        <f t="shared" si="0"/>
        <v>3250</v>
      </c>
      <c r="I6" s="28">
        <f t="shared" si="0"/>
        <v>3250</v>
      </c>
      <c r="J6" s="28">
        <f t="shared" si="0"/>
        <v>0</v>
      </c>
      <c r="K6" s="28">
        <f t="shared" si="0"/>
        <v>3000</v>
      </c>
      <c r="L6" s="28">
        <f t="shared" si="0"/>
        <v>3000</v>
      </c>
      <c r="M6" s="28">
        <f t="shared" si="0"/>
        <v>3250</v>
      </c>
      <c r="N6" s="28">
        <f t="shared" si="0"/>
        <v>3250</v>
      </c>
      <c r="O6" s="28">
        <f t="shared" si="0"/>
        <v>36500</v>
      </c>
    </row>
    <row r="7" spans="1:21" ht="15" thickBot="1" x14ac:dyDescent="0.35">
      <c r="A7" s="62"/>
      <c r="B7" s="9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21" ht="15" thickBot="1" x14ac:dyDescent="0.35">
      <c r="A8" s="103" t="s">
        <v>88</v>
      </c>
      <c r="B8" s="129" t="s">
        <v>63</v>
      </c>
    </row>
    <row r="9" spans="1:21" ht="15" thickBot="1" x14ac:dyDescent="0.35">
      <c r="A9" s="104" t="s">
        <v>87</v>
      </c>
      <c r="B9" s="130"/>
      <c r="C9" s="122" t="s">
        <v>64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21" ht="15" thickBot="1" x14ac:dyDescent="0.35">
      <c r="A10" s="6" t="s">
        <v>40</v>
      </c>
      <c r="B10" s="105">
        <f>(8*2*5*4.5*10)/3000*10%</f>
        <v>0.12</v>
      </c>
      <c r="C10" s="106">
        <f>+C$4*$B10</f>
        <v>150</v>
      </c>
      <c r="D10" s="106">
        <f t="shared" ref="D10:N12" si="1">+D$4*$B10</f>
        <v>150</v>
      </c>
      <c r="E10" s="106">
        <f t="shared" si="1"/>
        <v>150</v>
      </c>
      <c r="F10" s="106">
        <f t="shared" si="1"/>
        <v>150</v>
      </c>
      <c r="G10" s="106">
        <f t="shared" si="1"/>
        <v>150</v>
      </c>
      <c r="H10" s="106">
        <f t="shared" si="1"/>
        <v>180</v>
      </c>
      <c r="I10" s="106">
        <f t="shared" si="1"/>
        <v>180</v>
      </c>
      <c r="J10" s="106">
        <f t="shared" si="1"/>
        <v>0</v>
      </c>
      <c r="K10" s="106">
        <f t="shared" si="1"/>
        <v>240</v>
      </c>
      <c r="L10" s="106">
        <f t="shared" si="1"/>
        <v>240</v>
      </c>
      <c r="M10" s="106">
        <f t="shared" si="1"/>
        <v>240</v>
      </c>
      <c r="N10" s="106">
        <f t="shared" si="1"/>
        <v>240</v>
      </c>
      <c r="O10" s="49">
        <f t="shared" ref="O10:O12" si="2">+SUM(C10:N10)</f>
        <v>2070</v>
      </c>
      <c r="P10" s="18"/>
      <c r="Q10" s="18"/>
      <c r="R10" s="18"/>
      <c r="S10" s="18"/>
    </row>
    <row r="11" spans="1:21" ht="15" thickBot="1" x14ac:dyDescent="0.35">
      <c r="A11" s="1" t="s">
        <v>41</v>
      </c>
      <c r="B11" s="69">
        <f>(8*2*5*4.5*10)/3000*70%</f>
        <v>0.84</v>
      </c>
      <c r="C11" s="107">
        <f t="shared" ref="C11:C12" si="3">+C$4*$B11</f>
        <v>1050</v>
      </c>
      <c r="D11" s="107">
        <f t="shared" si="1"/>
        <v>1050</v>
      </c>
      <c r="E11" s="107">
        <f t="shared" si="1"/>
        <v>1050</v>
      </c>
      <c r="F11" s="107">
        <f t="shared" si="1"/>
        <v>1050</v>
      </c>
      <c r="G11" s="107">
        <f t="shared" si="1"/>
        <v>1050</v>
      </c>
      <c r="H11" s="107">
        <f t="shared" si="1"/>
        <v>1260</v>
      </c>
      <c r="I11" s="107">
        <f t="shared" si="1"/>
        <v>1260</v>
      </c>
      <c r="J11" s="107">
        <f t="shared" si="1"/>
        <v>0</v>
      </c>
      <c r="K11" s="107">
        <f t="shared" si="1"/>
        <v>1680</v>
      </c>
      <c r="L11" s="107">
        <f t="shared" si="1"/>
        <v>1680</v>
      </c>
      <c r="M11" s="107">
        <f t="shared" si="1"/>
        <v>1680</v>
      </c>
      <c r="N11" s="107">
        <f t="shared" si="1"/>
        <v>1680</v>
      </c>
      <c r="O11" s="49">
        <f t="shared" si="2"/>
        <v>14490</v>
      </c>
      <c r="P11" s="18"/>
      <c r="Q11" s="18"/>
      <c r="R11" s="18"/>
      <c r="S11" s="18"/>
    </row>
    <row r="12" spans="1:21" ht="15" thickBot="1" x14ac:dyDescent="0.35">
      <c r="A12" s="3" t="s">
        <v>42</v>
      </c>
      <c r="B12" s="70">
        <f>(8*2*5*4.5*10)/3000*20%</f>
        <v>0.24</v>
      </c>
      <c r="C12" s="108">
        <f t="shared" si="3"/>
        <v>300</v>
      </c>
      <c r="D12" s="108">
        <f t="shared" si="1"/>
        <v>300</v>
      </c>
      <c r="E12" s="108">
        <f t="shared" si="1"/>
        <v>300</v>
      </c>
      <c r="F12" s="108">
        <f t="shared" si="1"/>
        <v>300</v>
      </c>
      <c r="G12" s="108">
        <f t="shared" si="1"/>
        <v>300</v>
      </c>
      <c r="H12" s="108">
        <f t="shared" si="1"/>
        <v>360</v>
      </c>
      <c r="I12" s="108">
        <f t="shared" si="1"/>
        <v>360</v>
      </c>
      <c r="J12" s="108">
        <f t="shared" si="1"/>
        <v>0</v>
      </c>
      <c r="K12" s="108">
        <f t="shared" si="1"/>
        <v>480</v>
      </c>
      <c r="L12" s="108">
        <f t="shared" si="1"/>
        <v>480</v>
      </c>
      <c r="M12" s="108">
        <f t="shared" si="1"/>
        <v>480</v>
      </c>
      <c r="N12" s="108">
        <f t="shared" si="1"/>
        <v>480</v>
      </c>
      <c r="O12" s="49">
        <f t="shared" si="2"/>
        <v>4140</v>
      </c>
      <c r="P12" s="18"/>
      <c r="Q12" s="18"/>
      <c r="R12" s="18"/>
      <c r="S12" s="18"/>
    </row>
    <row r="13" spans="1:21" ht="15" thickBot="1" x14ac:dyDescent="0.35">
      <c r="A13" s="66"/>
      <c r="B13" s="67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18"/>
      <c r="P13" s="18"/>
      <c r="Q13" s="18"/>
      <c r="R13" s="18"/>
      <c r="S13" s="18"/>
    </row>
    <row r="14" spans="1:21" x14ac:dyDescent="0.3">
      <c r="A14" s="103" t="s">
        <v>147</v>
      </c>
      <c r="B14" s="129" t="s">
        <v>63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8"/>
      <c r="P14" s="18"/>
      <c r="Q14" s="18"/>
      <c r="R14" s="18"/>
      <c r="S14" s="18"/>
    </row>
    <row r="15" spans="1:21" ht="15" thickBot="1" x14ac:dyDescent="0.35">
      <c r="A15" s="104" t="s">
        <v>89</v>
      </c>
      <c r="B15" s="130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8"/>
      <c r="P15" s="18"/>
      <c r="Q15" s="18"/>
      <c r="R15" s="18"/>
      <c r="S15" s="18"/>
    </row>
    <row r="16" spans="1:21" ht="15" thickBot="1" x14ac:dyDescent="0.35">
      <c r="A16" s="2" t="s">
        <v>40</v>
      </c>
      <c r="B16" s="105">
        <f>+B10</f>
        <v>0.12</v>
      </c>
      <c r="C16" s="106">
        <f>+C$5*$B16</f>
        <v>270</v>
      </c>
      <c r="D16" s="106">
        <f t="shared" ref="D16:N18" si="4">+D$5*$B16</f>
        <v>270</v>
      </c>
      <c r="E16" s="106">
        <f t="shared" si="4"/>
        <v>270</v>
      </c>
      <c r="F16" s="106">
        <f t="shared" si="4"/>
        <v>270</v>
      </c>
      <c r="G16" s="106">
        <f t="shared" si="4"/>
        <v>270</v>
      </c>
      <c r="H16" s="106">
        <f t="shared" si="4"/>
        <v>210</v>
      </c>
      <c r="I16" s="106">
        <f t="shared" si="4"/>
        <v>210</v>
      </c>
      <c r="J16" s="106">
        <f t="shared" si="4"/>
        <v>0</v>
      </c>
      <c r="K16" s="106">
        <f t="shared" si="4"/>
        <v>120</v>
      </c>
      <c r="L16" s="106">
        <f t="shared" si="4"/>
        <v>120</v>
      </c>
      <c r="M16" s="106">
        <f t="shared" si="4"/>
        <v>150</v>
      </c>
      <c r="N16" s="106">
        <f t="shared" si="4"/>
        <v>150</v>
      </c>
      <c r="O16" s="49">
        <f t="shared" ref="O16:O18" si="5">+SUM(C16:N16)</f>
        <v>2310</v>
      </c>
      <c r="P16" s="18"/>
      <c r="Q16" s="18"/>
      <c r="R16" s="18"/>
      <c r="S16" s="18"/>
    </row>
    <row r="17" spans="1:20" ht="15" thickBot="1" x14ac:dyDescent="0.35">
      <c r="A17" s="1" t="s">
        <v>41</v>
      </c>
      <c r="B17" s="69">
        <f>(8*2*5*4.5*10)/4000-B16-B18</f>
        <v>0.54</v>
      </c>
      <c r="C17" s="107">
        <f t="shared" ref="C17:C18" si="6">+C$5*$B17</f>
        <v>1215</v>
      </c>
      <c r="D17" s="107">
        <f t="shared" si="4"/>
        <v>1215</v>
      </c>
      <c r="E17" s="107">
        <f t="shared" si="4"/>
        <v>1215</v>
      </c>
      <c r="F17" s="107">
        <f t="shared" si="4"/>
        <v>1215</v>
      </c>
      <c r="G17" s="107">
        <f t="shared" si="4"/>
        <v>1215</v>
      </c>
      <c r="H17" s="107">
        <f t="shared" si="4"/>
        <v>945.00000000000011</v>
      </c>
      <c r="I17" s="107">
        <f t="shared" si="4"/>
        <v>945.00000000000011</v>
      </c>
      <c r="J17" s="107">
        <f t="shared" si="4"/>
        <v>0</v>
      </c>
      <c r="K17" s="107">
        <f t="shared" si="4"/>
        <v>540</v>
      </c>
      <c r="L17" s="107">
        <f t="shared" si="4"/>
        <v>540</v>
      </c>
      <c r="M17" s="107">
        <f t="shared" si="4"/>
        <v>675</v>
      </c>
      <c r="N17" s="107">
        <f t="shared" si="4"/>
        <v>675</v>
      </c>
      <c r="O17" s="49">
        <f t="shared" si="5"/>
        <v>10395</v>
      </c>
      <c r="P17" s="18"/>
      <c r="Q17" s="18"/>
      <c r="R17" s="18"/>
      <c r="S17" s="18"/>
    </row>
    <row r="18" spans="1:20" ht="15" thickBot="1" x14ac:dyDescent="0.35">
      <c r="A18" s="3" t="s">
        <v>42</v>
      </c>
      <c r="B18" s="70">
        <f>+B12</f>
        <v>0.24</v>
      </c>
      <c r="C18" s="108">
        <f t="shared" si="6"/>
        <v>540</v>
      </c>
      <c r="D18" s="108">
        <f t="shared" si="4"/>
        <v>540</v>
      </c>
      <c r="E18" s="108">
        <f t="shared" si="4"/>
        <v>540</v>
      </c>
      <c r="F18" s="108">
        <f t="shared" si="4"/>
        <v>540</v>
      </c>
      <c r="G18" s="108">
        <f t="shared" si="4"/>
        <v>540</v>
      </c>
      <c r="H18" s="108">
        <f t="shared" si="4"/>
        <v>420</v>
      </c>
      <c r="I18" s="108">
        <f t="shared" si="4"/>
        <v>420</v>
      </c>
      <c r="J18" s="108">
        <f t="shared" si="4"/>
        <v>0</v>
      </c>
      <c r="K18" s="108">
        <f t="shared" si="4"/>
        <v>240</v>
      </c>
      <c r="L18" s="108">
        <f t="shared" si="4"/>
        <v>240</v>
      </c>
      <c r="M18" s="108">
        <f t="shared" si="4"/>
        <v>300</v>
      </c>
      <c r="N18" s="108">
        <f t="shared" si="4"/>
        <v>300</v>
      </c>
      <c r="O18" s="49">
        <f t="shared" si="5"/>
        <v>4620</v>
      </c>
      <c r="P18" s="18"/>
      <c r="Q18" s="18"/>
      <c r="R18" s="18"/>
      <c r="S18" s="18"/>
    </row>
    <row r="19" spans="1:20" x14ac:dyDescent="0.3">
      <c r="A19" s="66"/>
      <c r="B19" s="67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18"/>
      <c r="P19" s="18"/>
      <c r="Q19" s="18"/>
      <c r="R19" s="18"/>
      <c r="S19" s="18"/>
    </row>
    <row r="20" spans="1:20" x14ac:dyDescent="0.3">
      <c r="A20" s="4" t="s">
        <v>0</v>
      </c>
      <c r="B20" s="65"/>
      <c r="C20" s="47">
        <f>+SUM(C10:C12,C16:C18)</f>
        <v>3525</v>
      </c>
      <c r="D20" s="47">
        <f t="shared" ref="D20:N20" si="7">+SUM(D10:D12,D16:D18)</f>
        <v>3525</v>
      </c>
      <c r="E20" s="47">
        <f t="shared" si="7"/>
        <v>3525</v>
      </c>
      <c r="F20" s="47">
        <f t="shared" si="7"/>
        <v>3525</v>
      </c>
      <c r="G20" s="47">
        <f t="shared" si="7"/>
        <v>3525</v>
      </c>
      <c r="H20" s="47">
        <f t="shared" si="7"/>
        <v>3375</v>
      </c>
      <c r="I20" s="47">
        <f t="shared" si="7"/>
        <v>3375</v>
      </c>
      <c r="J20" s="47">
        <f t="shared" si="7"/>
        <v>0</v>
      </c>
      <c r="K20" s="47">
        <f t="shared" si="7"/>
        <v>3300</v>
      </c>
      <c r="L20" s="47">
        <f t="shared" si="7"/>
        <v>3300</v>
      </c>
      <c r="M20" s="47">
        <f t="shared" si="7"/>
        <v>3525</v>
      </c>
      <c r="N20" s="47">
        <f t="shared" si="7"/>
        <v>3525</v>
      </c>
      <c r="O20" s="18"/>
      <c r="P20" s="18"/>
      <c r="Q20" s="18"/>
      <c r="R20" s="18"/>
      <c r="S20" s="18"/>
    </row>
    <row r="21" spans="1:20" x14ac:dyDescent="0.3">
      <c r="A21" s="7" t="s">
        <v>86</v>
      </c>
      <c r="B21" s="7"/>
      <c r="C21" s="75">
        <f>16*(4.5*5)*10</f>
        <v>3600</v>
      </c>
      <c r="D21" s="75">
        <f t="shared" ref="D21:N21" si="8">16*(4.5*5)*10</f>
        <v>3600</v>
      </c>
      <c r="E21" s="75">
        <f t="shared" si="8"/>
        <v>3600</v>
      </c>
      <c r="F21" s="75">
        <f t="shared" si="8"/>
        <v>3600</v>
      </c>
      <c r="G21" s="75">
        <f t="shared" si="8"/>
        <v>3600</v>
      </c>
      <c r="H21" s="75">
        <f t="shared" si="8"/>
        <v>3600</v>
      </c>
      <c r="I21" s="75">
        <f t="shared" si="8"/>
        <v>3600</v>
      </c>
      <c r="J21" s="75">
        <f t="shared" si="8"/>
        <v>3600</v>
      </c>
      <c r="K21" s="75">
        <f t="shared" si="8"/>
        <v>3600</v>
      </c>
      <c r="L21" s="75">
        <f t="shared" si="8"/>
        <v>3600</v>
      </c>
      <c r="M21" s="75">
        <f t="shared" si="8"/>
        <v>3600</v>
      </c>
      <c r="N21" s="75">
        <f t="shared" si="8"/>
        <v>3600</v>
      </c>
      <c r="O21" s="18"/>
      <c r="P21" s="18"/>
      <c r="Q21" s="18"/>
      <c r="R21" s="18"/>
      <c r="S21" s="18"/>
    </row>
    <row r="22" spans="1:20" x14ac:dyDescent="0.3">
      <c r="A22" s="7" t="s">
        <v>68</v>
      </c>
      <c r="B22" s="7"/>
      <c r="C22" s="68">
        <f>+C20/C21</f>
        <v>0.97916666666666663</v>
      </c>
      <c r="D22" s="68">
        <f t="shared" ref="D22:N22" si="9">+D20/D21</f>
        <v>0.97916666666666663</v>
      </c>
      <c r="E22" s="68">
        <f t="shared" si="9"/>
        <v>0.97916666666666663</v>
      </c>
      <c r="F22" s="68">
        <f t="shared" si="9"/>
        <v>0.97916666666666663</v>
      </c>
      <c r="G22" s="68">
        <f t="shared" si="9"/>
        <v>0.97916666666666663</v>
      </c>
      <c r="H22" s="68">
        <f t="shared" si="9"/>
        <v>0.9375</v>
      </c>
      <c r="I22" s="68">
        <f t="shared" si="9"/>
        <v>0.9375</v>
      </c>
      <c r="J22" s="68">
        <f t="shared" si="9"/>
        <v>0</v>
      </c>
      <c r="K22" s="68">
        <f t="shared" si="9"/>
        <v>0.91666666666666663</v>
      </c>
      <c r="L22" s="68">
        <f t="shared" si="9"/>
        <v>0.91666666666666663</v>
      </c>
      <c r="M22" s="68">
        <f t="shared" si="9"/>
        <v>0.97916666666666663</v>
      </c>
      <c r="N22" s="68">
        <f t="shared" si="9"/>
        <v>0.97916666666666663</v>
      </c>
      <c r="O22" s="13"/>
      <c r="P22" s="13"/>
      <c r="Q22" s="13"/>
      <c r="R22" s="13"/>
      <c r="S22" s="13"/>
      <c r="T22" s="13"/>
    </row>
    <row r="23" spans="1:20" ht="15" thickBot="1" x14ac:dyDescent="0.3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0" ht="15" thickBot="1" x14ac:dyDescent="0.35">
      <c r="B24" s="127" t="s">
        <v>72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0" ht="15" thickBot="1" x14ac:dyDescent="0.35">
      <c r="A25" s="61" t="s">
        <v>74</v>
      </c>
      <c r="B25" s="128"/>
      <c r="C25" s="124" t="s">
        <v>64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8"/>
      <c r="P25" s="18"/>
      <c r="Q25" s="18"/>
      <c r="R25" s="18"/>
      <c r="S25" s="18"/>
    </row>
    <row r="26" spans="1:20" ht="15" thickBot="1" x14ac:dyDescent="0.35">
      <c r="A26" s="2" t="s">
        <v>69</v>
      </c>
      <c r="B26" s="109">
        <v>1</v>
      </c>
      <c r="C26" s="106">
        <f>+C10*$B26</f>
        <v>150</v>
      </c>
      <c r="D26" s="106">
        <f t="shared" ref="D26:N28" si="10">+D10*$B26</f>
        <v>150</v>
      </c>
      <c r="E26" s="106">
        <f t="shared" si="10"/>
        <v>150</v>
      </c>
      <c r="F26" s="106">
        <f t="shared" si="10"/>
        <v>150</v>
      </c>
      <c r="G26" s="106">
        <f t="shared" si="10"/>
        <v>150</v>
      </c>
      <c r="H26" s="106">
        <f t="shared" si="10"/>
        <v>180</v>
      </c>
      <c r="I26" s="106">
        <f t="shared" si="10"/>
        <v>180</v>
      </c>
      <c r="J26" s="106">
        <f t="shared" si="10"/>
        <v>0</v>
      </c>
      <c r="K26" s="106">
        <f t="shared" si="10"/>
        <v>240</v>
      </c>
      <c r="L26" s="106">
        <f t="shared" si="10"/>
        <v>240</v>
      </c>
      <c r="M26" s="106">
        <f t="shared" si="10"/>
        <v>240</v>
      </c>
      <c r="N26" s="106">
        <f t="shared" si="10"/>
        <v>240</v>
      </c>
      <c r="O26" s="49">
        <f t="shared" ref="O26:O28" si="11">+SUM(C26:N26)</f>
        <v>2070</v>
      </c>
      <c r="P26" s="18"/>
      <c r="Q26" s="18"/>
      <c r="R26" s="18"/>
      <c r="S26" s="18"/>
    </row>
    <row r="27" spans="1:20" ht="15" thickBot="1" x14ac:dyDescent="0.35">
      <c r="A27" s="1" t="s">
        <v>70</v>
      </c>
      <c r="B27" s="110">
        <v>2</v>
      </c>
      <c r="C27" s="107">
        <f>+C11*$B27</f>
        <v>2100</v>
      </c>
      <c r="D27" s="107">
        <f t="shared" si="10"/>
        <v>2100</v>
      </c>
      <c r="E27" s="107">
        <f t="shared" si="10"/>
        <v>2100</v>
      </c>
      <c r="F27" s="107">
        <f t="shared" si="10"/>
        <v>2100</v>
      </c>
      <c r="G27" s="107">
        <f t="shared" si="10"/>
        <v>2100</v>
      </c>
      <c r="H27" s="107">
        <f t="shared" si="10"/>
        <v>2520</v>
      </c>
      <c r="I27" s="107">
        <f t="shared" si="10"/>
        <v>2520</v>
      </c>
      <c r="J27" s="107">
        <f t="shared" si="10"/>
        <v>0</v>
      </c>
      <c r="K27" s="107">
        <f t="shared" si="10"/>
        <v>3360</v>
      </c>
      <c r="L27" s="107">
        <f t="shared" si="10"/>
        <v>3360</v>
      </c>
      <c r="M27" s="107">
        <f t="shared" si="10"/>
        <v>3360</v>
      </c>
      <c r="N27" s="107">
        <f t="shared" si="10"/>
        <v>3360</v>
      </c>
      <c r="O27" s="49">
        <f t="shared" si="11"/>
        <v>28980</v>
      </c>
      <c r="P27" s="18"/>
      <c r="Q27" s="18"/>
      <c r="R27" s="18"/>
      <c r="S27" s="18"/>
    </row>
    <row r="28" spans="1:20" ht="15" thickBot="1" x14ac:dyDescent="0.35">
      <c r="A28" s="3" t="s">
        <v>71</v>
      </c>
      <c r="B28" s="113">
        <v>1</v>
      </c>
      <c r="C28" s="108">
        <f>+C12*$B28</f>
        <v>300</v>
      </c>
      <c r="D28" s="108">
        <f t="shared" si="10"/>
        <v>300</v>
      </c>
      <c r="E28" s="108">
        <f t="shared" si="10"/>
        <v>300</v>
      </c>
      <c r="F28" s="108">
        <f t="shared" si="10"/>
        <v>300</v>
      </c>
      <c r="G28" s="108">
        <f t="shared" si="10"/>
        <v>300</v>
      </c>
      <c r="H28" s="108">
        <f t="shared" si="10"/>
        <v>360</v>
      </c>
      <c r="I28" s="108">
        <f t="shared" si="10"/>
        <v>360</v>
      </c>
      <c r="J28" s="108">
        <f t="shared" si="10"/>
        <v>0</v>
      </c>
      <c r="K28" s="108">
        <f t="shared" si="10"/>
        <v>480</v>
      </c>
      <c r="L28" s="108">
        <f t="shared" si="10"/>
        <v>480</v>
      </c>
      <c r="M28" s="108">
        <f t="shared" si="10"/>
        <v>480</v>
      </c>
      <c r="N28" s="108">
        <f t="shared" si="10"/>
        <v>480</v>
      </c>
      <c r="O28" s="49">
        <f t="shared" si="11"/>
        <v>4140</v>
      </c>
      <c r="P28" s="18"/>
      <c r="Q28" s="18"/>
      <c r="R28" s="18"/>
      <c r="S28" s="18"/>
    </row>
    <row r="29" spans="1:20" ht="15" thickBot="1" x14ac:dyDescent="0.35">
      <c r="A29" s="66"/>
      <c r="B29" s="6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18"/>
      <c r="P29" s="18"/>
      <c r="Q29" s="18"/>
      <c r="R29" s="18"/>
      <c r="S29" s="18"/>
    </row>
    <row r="30" spans="1:20" ht="15" thickBot="1" x14ac:dyDescent="0.35">
      <c r="A30" s="61" t="s">
        <v>73</v>
      </c>
      <c r="B30" s="67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18"/>
      <c r="P30" s="18"/>
      <c r="Q30" s="18"/>
      <c r="R30" s="18"/>
      <c r="S30" s="18"/>
    </row>
    <row r="31" spans="1:20" ht="15" thickBot="1" x14ac:dyDescent="0.35">
      <c r="A31" s="2" t="s">
        <v>69</v>
      </c>
      <c r="B31" s="109">
        <v>1</v>
      </c>
      <c r="C31" s="106">
        <f>+C16*$B31</f>
        <v>270</v>
      </c>
      <c r="D31" s="106">
        <f t="shared" ref="D31:N31" si="12">+D16*$B31</f>
        <v>270</v>
      </c>
      <c r="E31" s="106">
        <f t="shared" si="12"/>
        <v>270</v>
      </c>
      <c r="F31" s="106">
        <f t="shared" si="12"/>
        <v>270</v>
      </c>
      <c r="G31" s="106">
        <f t="shared" si="12"/>
        <v>270</v>
      </c>
      <c r="H31" s="106">
        <f t="shared" si="12"/>
        <v>210</v>
      </c>
      <c r="I31" s="106">
        <f t="shared" si="12"/>
        <v>210</v>
      </c>
      <c r="J31" s="106">
        <f t="shared" si="12"/>
        <v>0</v>
      </c>
      <c r="K31" s="106">
        <f t="shared" si="12"/>
        <v>120</v>
      </c>
      <c r="L31" s="106">
        <f t="shared" si="12"/>
        <v>120</v>
      </c>
      <c r="M31" s="106">
        <f t="shared" si="12"/>
        <v>150</v>
      </c>
      <c r="N31" s="106">
        <f t="shared" si="12"/>
        <v>150</v>
      </c>
      <c r="O31" s="49">
        <f t="shared" ref="O31:O35" si="13">+SUM(C31:N31)</f>
        <v>2310</v>
      </c>
      <c r="P31" s="18"/>
      <c r="Q31" s="18"/>
      <c r="R31" s="18"/>
      <c r="S31" s="18"/>
    </row>
    <row r="32" spans="1:20" ht="15" thickBot="1" x14ac:dyDescent="0.35">
      <c r="A32" s="1" t="s">
        <v>70</v>
      </c>
      <c r="B32" s="110">
        <v>2.5</v>
      </c>
      <c r="C32" s="107">
        <f>+C17*$B32</f>
        <v>3037.5</v>
      </c>
      <c r="D32" s="107">
        <f t="shared" ref="D32:N32" si="14">+D17*$B32</f>
        <v>3037.5</v>
      </c>
      <c r="E32" s="107">
        <f t="shared" si="14"/>
        <v>3037.5</v>
      </c>
      <c r="F32" s="107">
        <f t="shared" si="14"/>
        <v>3037.5</v>
      </c>
      <c r="G32" s="107">
        <f t="shared" si="14"/>
        <v>3037.5</v>
      </c>
      <c r="H32" s="107">
        <f t="shared" si="14"/>
        <v>2362.5000000000005</v>
      </c>
      <c r="I32" s="107">
        <f t="shared" si="14"/>
        <v>2362.5000000000005</v>
      </c>
      <c r="J32" s="107">
        <f t="shared" si="14"/>
        <v>0</v>
      </c>
      <c r="K32" s="107">
        <f t="shared" si="14"/>
        <v>1350</v>
      </c>
      <c r="L32" s="107">
        <f t="shared" si="14"/>
        <v>1350</v>
      </c>
      <c r="M32" s="107">
        <f t="shared" si="14"/>
        <v>1687.5</v>
      </c>
      <c r="N32" s="107">
        <f t="shared" si="14"/>
        <v>1687.5</v>
      </c>
      <c r="O32" s="49">
        <f t="shared" si="13"/>
        <v>25987.5</v>
      </c>
      <c r="P32" s="18"/>
      <c r="Q32" s="18"/>
      <c r="R32" s="18"/>
      <c r="S32" s="18"/>
    </row>
    <row r="33" spans="1:19" ht="15" thickBot="1" x14ac:dyDescent="0.35">
      <c r="A33" s="3" t="s">
        <v>71</v>
      </c>
      <c r="B33" s="113">
        <v>1</v>
      </c>
      <c r="C33" s="108">
        <f t="shared" ref="C33:N33" si="15">+C18*$B33</f>
        <v>540</v>
      </c>
      <c r="D33" s="108">
        <f t="shared" si="15"/>
        <v>540</v>
      </c>
      <c r="E33" s="108">
        <f t="shared" si="15"/>
        <v>540</v>
      </c>
      <c r="F33" s="108">
        <f t="shared" si="15"/>
        <v>540</v>
      </c>
      <c r="G33" s="108">
        <f t="shared" si="15"/>
        <v>540</v>
      </c>
      <c r="H33" s="108">
        <f t="shared" si="15"/>
        <v>420</v>
      </c>
      <c r="I33" s="108">
        <f t="shared" si="15"/>
        <v>420</v>
      </c>
      <c r="J33" s="108">
        <f t="shared" si="15"/>
        <v>0</v>
      </c>
      <c r="K33" s="108">
        <f t="shared" si="15"/>
        <v>240</v>
      </c>
      <c r="L33" s="108">
        <f t="shared" si="15"/>
        <v>240</v>
      </c>
      <c r="M33" s="108">
        <f t="shared" si="15"/>
        <v>300</v>
      </c>
      <c r="N33" s="108">
        <f t="shared" si="15"/>
        <v>300</v>
      </c>
      <c r="O33" s="49">
        <f t="shared" si="13"/>
        <v>4620</v>
      </c>
      <c r="P33" s="18"/>
      <c r="Q33" s="18"/>
      <c r="R33" s="18"/>
      <c r="S33" s="18"/>
    </row>
    <row r="34" spans="1:19" x14ac:dyDescent="0.3">
      <c r="A34" s="66"/>
      <c r="B34" s="67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18"/>
      <c r="P34" s="18"/>
      <c r="Q34" s="18"/>
      <c r="R34" s="18"/>
      <c r="S34" s="18"/>
    </row>
    <row r="35" spans="1:19" ht="15" thickBot="1" x14ac:dyDescent="0.35">
      <c r="A35" s="4" t="s">
        <v>75</v>
      </c>
      <c r="B35" s="65"/>
      <c r="C35" s="47">
        <f>+SUM(C26:C33)</f>
        <v>6397.5</v>
      </c>
      <c r="D35" s="47">
        <f t="shared" ref="D35:N35" si="16">+SUM(D26:D33)</f>
        <v>6397.5</v>
      </c>
      <c r="E35" s="47">
        <f t="shared" si="16"/>
        <v>6397.5</v>
      </c>
      <c r="F35" s="47">
        <f t="shared" si="16"/>
        <v>6397.5</v>
      </c>
      <c r="G35" s="47">
        <f t="shared" si="16"/>
        <v>6397.5</v>
      </c>
      <c r="H35" s="47">
        <f t="shared" si="16"/>
        <v>6052.5</v>
      </c>
      <c r="I35" s="47">
        <f t="shared" si="16"/>
        <v>6052.5</v>
      </c>
      <c r="J35" s="47">
        <f t="shared" si="16"/>
        <v>0</v>
      </c>
      <c r="K35" s="47">
        <f t="shared" si="16"/>
        <v>5790</v>
      </c>
      <c r="L35" s="47">
        <f t="shared" si="16"/>
        <v>5790</v>
      </c>
      <c r="M35" s="47">
        <f t="shared" si="16"/>
        <v>6217.5</v>
      </c>
      <c r="N35" s="47">
        <f t="shared" si="16"/>
        <v>6217.5</v>
      </c>
      <c r="O35" s="49">
        <f t="shared" si="13"/>
        <v>68107.5</v>
      </c>
      <c r="P35" s="18"/>
      <c r="Q35" s="18"/>
      <c r="R35" s="18"/>
      <c r="S35" s="18"/>
    </row>
    <row r="36" spans="1:19" x14ac:dyDescent="0.3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x14ac:dyDescent="0.3">
      <c r="A37" s="7" t="s">
        <v>85</v>
      </c>
      <c r="B37" s="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1:19" ht="15" thickBot="1" x14ac:dyDescent="0.35">
      <c r="A38" s="7" t="s">
        <v>58</v>
      </c>
      <c r="B38" s="7"/>
      <c r="C38" s="75">
        <f>+SUM(C26:C28)*'manodopera diretta e costo h'!$F$28</f>
        <v>58910.603052912593</v>
      </c>
      <c r="D38" s="75">
        <f>+SUM(D26:D28)*'manodopera diretta e costo h'!$F$28</f>
        <v>58910.603052912593</v>
      </c>
      <c r="E38" s="75">
        <f>+SUM(E26:E28)*'manodopera diretta e costo h'!$F$28</f>
        <v>58910.603052912593</v>
      </c>
      <c r="F38" s="75">
        <f>+SUM(F26:F28)*'manodopera diretta e costo h'!$F$28</f>
        <v>58910.603052912593</v>
      </c>
      <c r="G38" s="75">
        <f>+SUM(G26:G28)*'manodopera diretta e costo h'!$F$28</f>
        <v>58910.603052912593</v>
      </c>
      <c r="H38" s="75">
        <f>+SUM(H26:H28)*'manodopera diretta e costo h'!$F$28</f>
        <v>70692.723663495111</v>
      </c>
      <c r="I38" s="75">
        <f>+SUM(I26:I28)*'manodopera diretta e costo h'!$F$28</f>
        <v>70692.723663495111</v>
      </c>
      <c r="J38" s="75">
        <f>+SUM(J26:J28)*'manodopera diretta e costo h'!$F$28</f>
        <v>0</v>
      </c>
      <c r="K38" s="75">
        <f>+SUM(K26:K28)*'manodopera diretta e costo h'!$F$28</f>
        <v>94256.964884660149</v>
      </c>
      <c r="L38" s="75">
        <f>+SUM(L26:L28)*'manodopera diretta e costo h'!$F$28</f>
        <v>94256.964884660149</v>
      </c>
      <c r="M38" s="75">
        <f>+SUM(M26:M28)*'manodopera diretta e costo h'!$F$28</f>
        <v>94256.964884660149</v>
      </c>
      <c r="N38" s="75">
        <f>+SUM(N26:N28)*'manodopera diretta e costo h'!$F$28</f>
        <v>94256.964884660149</v>
      </c>
      <c r="O38" s="76">
        <f t="shared" ref="O38:O39" si="17">+SUM(C38:N38)</f>
        <v>812966.32213019393</v>
      </c>
      <c r="P38" s="75"/>
      <c r="Q38" s="80"/>
      <c r="R38" s="75"/>
      <c r="S38" s="75"/>
    </row>
    <row r="39" spans="1:19" ht="15" thickBot="1" x14ac:dyDescent="0.35">
      <c r="A39" s="7" t="s">
        <v>59</v>
      </c>
      <c r="B39" s="7"/>
      <c r="C39" s="75">
        <f>+SUM(C31:C33)*'manodopera diretta e costo h'!$F$28</f>
        <v>88885.704018071046</v>
      </c>
      <c r="D39" s="75">
        <f>+SUM(D31:D33)*'manodopera diretta e costo h'!$F$28</f>
        <v>88885.704018071046</v>
      </c>
      <c r="E39" s="75">
        <f>+SUM(E31:E33)*'manodopera diretta e costo h'!$F$28</f>
        <v>88885.704018071046</v>
      </c>
      <c r="F39" s="75">
        <f>+SUM(F31:F33)*'manodopera diretta e costo h'!$F$28</f>
        <v>88885.704018071046</v>
      </c>
      <c r="G39" s="75">
        <f>+SUM(G31:G33)*'manodopera diretta e costo h'!$F$28</f>
        <v>88885.704018071046</v>
      </c>
      <c r="H39" s="75">
        <f>+SUM(H31:H33)*'manodopera diretta e costo h'!$F$28</f>
        <v>69133.325347388614</v>
      </c>
      <c r="I39" s="75">
        <f>+SUM(I31:I33)*'manodopera diretta e costo h'!$F$28</f>
        <v>69133.325347388614</v>
      </c>
      <c r="J39" s="75">
        <f>+SUM(J31:J33)*'manodopera diretta e costo h'!$F$28</f>
        <v>0</v>
      </c>
      <c r="K39" s="75">
        <f>+SUM(K31:K33)*'manodopera diretta e costo h'!$F$28</f>
        <v>39504.757341364915</v>
      </c>
      <c r="L39" s="75">
        <f>+SUM(L31:L33)*'manodopera diretta e costo h'!$F$28</f>
        <v>39504.757341364915</v>
      </c>
      <c r="M39" s="75">
        <f>+SUM(M31:M33)*'manodopera diretta e costo h'!$F$28</f>
        <v>49380.946676706139</v>
      </c>
      <c r="N39" s="75">
        <f>+SUM(N31:N33)*'manodopera diretta e costo h'!$F$28</f>
        <v>49380.946676706139</v>
      </c>
      <c r="O39" s="76">
        <f t="shared" si="17"/>
        <v>760466.57882127445</v>
      </c>
      <c r="P39" s="75"/>
      <c r="Q39" s="80"/>
      <c r="R39" s="75"/>
      <c r="S39" s="75"/>
    </row>
    <row r="40" spans="1:19" x14ac:dyDescent="0.3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x14ac:dyDescent="0.3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x14ac:dyDescent="0.3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x14ac:dyDescent="0.3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</sheetData>
  <mergeCells count="8">
    <mergeCell ref="C1:O1"/>
    <mergeCell ref="Q1:U1"/>
    <mergeCell ref="A4:A6"/>
    <mergeCell ref="C9:N9"/>
    <mergeCell ref="C25:N25"/>
    <mergeCell ref="B24:B25"/>
    <mergeCell ref="B8:B9"/>
    <mergeCell ref="B14:B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957C-7981-433E-83EE-EF4852AACDFB}">
  <dimension ref="C7:H28"/>
  <sheetViews>
    <sheetView topLeftCell="A9" zoomScale="110" zoomScaleNormal="110" workbookViewId="0">
      <selection activeCell="F28" sqref="F28"/>
    </sheetView>
  </sheetViews>
  <sheetFormatPr defaultRowHeight="14.4" x14ac:dyDescent="0.3"/>
  <cols>
    <col min="5" max="5" width="10.33203125" bestFit="1" customWidth="1"/>
    <col min="6" max="6" width="12.88671875" bestFit="1" customWidth="1"/>
    <col min="8" max="8" width="51.88671875" bestFit="1" customWidth="1"/>
  </cols>
  <sheetData>
    <row r="7" spans="5:8" x14ac:dyDescent="0.3">
      <c r="E7" s="9" t="s">
        <v>2</v>
      </c>
      <c r="F7" s="10">
        <v>365</v>
      </c>
    </row>
    <row r="8" spans="5:8" x14ac:dyDescent="0.3">
      <c r="E8" s="9" t="s">
        <v>3</v>
      </c>
      <c r="F8" s="10">
        <f>-52*2</f>
        <v>-104</v>
      </c>
      <c r="H8" t="s">
        <v>92</v>
      </c>
    </row>
    <row r="9" spans="5:8" x14ac:dyDescent="0.3">
      <c r="E9" s="11" t="s">
        <v>5</v>
      </c>
      <c r="F9" s="12">
        <v>-15</v>
      </c>
    </row>
    <row r="10" spans="5:8" x14ac:dyDescent="0.3">
      <c r="E10" s="9" t="s">
        <v>4</v>
      </c>
      <c r="F10" s="10">
        <f>+SUM(F7:F9)</f>
        <v>246</v>
      </c>
    </row>
    <row r="11" spans="5:8" x14ac:dyDescent="0.3">
      <c r="E11" s="9" t="s">
        <v>6</v>
      </c>
      <c r="F11" s="10">
        <v>-25</v>
      </c>
    </row>
    <row r="12" spans="5:8" x14ac:dyDescent="0.3">
      <c r="E12" s="11" t="s">
        <v>7</v>
      </c>
      <c r="F12" s="79">
        <f>-F10*5%</f>
        <v>-12.3</v>
      </c>
      <c r="G12" s="13"/>
      <c r="H12" t="s">
        <v>90</v>
      </c>
    </row>
    <row r="13" spans="5:8" x14ac:dyDescent="0.3">
      <c r="E13" s="9" t="s">
        <v>8</v>
      </c>
      <c r="F13" s="14">
        <f>+SUM(F10:F12)</f>
        <v>208.7</v>
      </c>
    </row>
    <row r="14" spans="5:8" x14ac:dyDescent="0.3">
      <c r="E14" s="11" t="s">
        <v>9</v>
      </c>
      <c r="F14" s="79">
        <f>35/5</f>
        <v>7</v>
      </c>
      <c r="H14" t="s">
        <v>152</v>
      </c>
    </row>
    <row r="15" spans="5:8" x14ac:dyDescent="0.3">
      <c r="E15" s="9" t="s">
        <v>10</v>
      </c>
      <c r="F15" s="10">
        <f>+F13*F14</f>
        <v>1460.8999999999999</v>
      </c>
    </row>
    <row r="16" spans="5:8" x14ac:dyDescent="0.3">
      <c r="E16" s="9" t="s">
        <v>14</v>
      </c>
      <c r="F16" s="79">
        <f>-F15*10%</f>
        <v>-146.09</v>
      </c>
      <c r="G16" s="13"/>
      <c r="H16" t="s">
        <v>91</v>
      </c>
    </row>
    <row r="17" spans="3:8" x14ac:dyDescent="0.3">
      <c r="E17" s="9" t="s">
        <v>11</v>
      </c>
      <c r="F17" s="15">
        <f>+F15+F16</f>
        <v>1314.81</v>
      </c>
    </row>
    <row r="18" spans="3:8" x14ac:dyDescent="0.3">
      <c r="E18" s="9"/>
      <c r="F18" s="15"/>
      <c r="G18" s="13"/>
    </row>
    <row r="19" spans="3:8" x14ac:dyDescent="0.3">
      <c r="E19" s="9" t="s">
        <v>43</v>
      </c>
      <c r="F19" s="15">
        <f>+ROUTING!O35</f>
        <v>68107.5</v>
      </c>
    </row>
    <row r="20" spans="3:8" x14ac:dyDescent="0.3">
      <c r="E20" s="9" t="s">
        <v>78</v>
      </c>
      <c r="F20" s="15">
        <f>+F19/F17</f>
        <v>51.800260113628589</v>
      </c>
      <c r="G20" s="17" t="s">
        <v>13</v>
      </c>
    </row>
    <row r="21" spans="3:8" x14ac:dyDescent="0.3">
      <c r="E21" s="9"/>
    </row>
    <row r="22" spans="3:8" x14ac:dyDescent="0.3">
      <c r="D22" t="s">
        <v>80</v>
      </c>
      <c r="E22" s="9" t="s">
        <v>81</v>
      </c>
      <c r="F22" t="s">
        <v>82</v>
      </c>
    </row>
    <row r="23" spans="3:8" x14ac:dyDescent="0.3">
      <c r="C23" s="9" t="s">
        <v>76</v>
      </c>
      <c r="D23" s="112">
        <f>+F20*80%</f>
        <v>41.440208090902871</v>
      </c>
      <c r="E23" s="34">
        <v>30000</v>
      </c>
      <c r="F23" s="34">
        <f>+D23*E23</f>
        <v>1243206.2427270862</v>
      </c>
      <c r="G23" s="34"/>
      <c r="H23" t="s">
        <v>138</v>
      </c>
    </row>
    <row r="24" spans="3:8" x14ac:dyDescent="0.3">
      <c r="C24" s="9" t="s">
        <v>77</v>
      </c>
      <c r="D24" s="112">
        <f>+F20*15%</f>
        <v>7.7700390170442883</v>
      </c>
      <c r="E24" s="60">
        <f>+E23*1.05</f>
        <v>31500</v>
      </c>
      <c r="F24" s="34">
        <f t="shared" ref="F24:F25" si="0">+D24*E24</f>
        <v>244756.22903689509</v>
      </c>
      <c r="G24" s="34"/>
      <c r="H24" t="s">
        <v>84</v>
      </c>
    </row>
    <row r="25" spans="3:8" x14ac:dyDescent="0.3">
      <c r="C25" s="9" t="s">
        <v>79</v>
      </c>
      <c r="D25" s="112">
        <f>+F20*5%*2</f>
        <v>5.1800260113628589</v>
      </c>
      <c r="E25" s="60">
        <f>+E23/2*1.1</f>
        <v>16500</v>
      </c>
      <c r="F25" s="34">
        <f t="shared" si="0"/>
        <v>85470.429187487171</v>
      </c>
      <c r="G25" s="34"/>
      <c r="H25" t="s">
        <v>83</v>
      </c>
    </row>
    <row r="26" spans="3:8" x14ac:dyDescent="0.3">
      <c r="C26" s="9" t="s">
        <v>1</v>
      </c>
      <c r="D26" s="16">
        <f>+SUM(D23:D25)</f>
        <v>54.390273119310024</v>
      </c>
      <c r="E26" s="71"/>
      <c r="F26" s="34">
        <f>+SUM(F23:F25)</f>
        <v>1573432.9009514684</v>
      </c>
      <c r="G26" s="34"/>
    </row>
    <row r="27" spans="3:8" x14ac:dyDescent="0.3">
      <c r="E27" s="9"/>
      <c r="F27" s="15"/>
    </row>
    <row r="28" spans="3:8" x14ac:dyDescent="0.3">
      <c r="E28" s="9" t="s">
        <v>12</v>
      </c>
      <c r="F28" s="16">
        <f>+F26/F19</f>
        <v>23.102197275651996</v>
      </c>
      <c r="G28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045D-A828-4003-807A-DFA3734AB7CF}">
  <dimension ref="A1:U34"/>
  <sheetViews>
    <sheetView zoomScale="130" zoomScaleNormal="130" workbookViewId="0">
      <pane xSplit="2" ySplit="2" topLeftCell="H19" activePane="bottomRight" state="frozen"/>
      <selection pane="topRight" activeCell="C1" sqref="C1"/>
      <selection pane="bottomLeft" activeCell="A3" sqref="A3"/>
      <selection pane="bottomRight" activeCell="Q1" sqref="Q1:U1"/>
    </sheetView>
  </sheetViews>
  <sheetFormatPr defaultRowHeight="14.4" x14ac:dyDescent="0.3"/>
  <cols>
    <col min="1" max="1" width="27.44140625" customWidth="1"/>
    <col min="2" max="2" width="13.88671875" customWidth="1"/>
    <col min="3" max="5" width="7.6640625" bestFit="1" customWidth="1"/>
    <col min="6" max="6" width="10.33203125" bestFit="1" customWidth="1"/>
    <col min="7" max="9" width="7.6640625" bestFit="1" customWidth="1"/>
    <col min="10" max="12" width="8.6640625" bestFit="1" customWidth="1"/>
    <col min="13" max="13" width="8.5546875" customWidth="1"/>
    <col min="14" max="14" width="8.6640625" bestFit="1" customWidth="1"/>
    <col min="15" max="15" width="9.109375" bestFit="1" customWidth="1"/>
    <col min="16" max="16" width="1.109375" customWidth="1"/>
    <col min="17" max="17" width="8.109375" bestFit="1" customWidth="1"/>
    <col min="18" max="18" width="6.5546875" bestFit="1" customWidth="1"/>
    <col min="19" max="21" width="7.5546875" bestFit="1" customWidth="1"/>
  </cols>
  <sheetData>
    <row r="1" spans="1:21" x14ac:dyDescent="0.3">
      <c r="A1" s="18"/>
      <c r="B1" s="55"/>
      <c r="C1" s="115" t="s">
        <v>16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Q1" s="115" t="s">
        <v>17</v>
      </c>
      <c r="R1" s="116"/>
      <c r="S1" s="116"/>
      <c r="T1" s="116"/>
      <c r="U1" s="117"/>
    </row>
    <row r="2" spans="1:21" x14ac:dyDescent="0.3">
      <c r="A2" s="18"/>
      <c r="B2" s="55"/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</row>
    <row r="3" spans="1:21" ht="15" thickBot="1" x14ac:dyDescent="0.35">
      <c r="B3" s="5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1" ht="15" thickBot="1" x14ac:dyDescent="0.35">
      <c r="A4" s="121" t="s">
        <v>60</v>
      </c>
      <c r="B4" s="56" t="s">
        <v>58</v>
      </c>
      <c r="C4" s="24">
        <f>+'budget scorte prodotti fin'!C9</f>
        <v>1250</v>
      </c>
      <c r="D4" s="24">
        <f>+'budget scorte prodotti fin'!D9</f>
        <v>1250</v>
      </c>
      <c r="E4" s="24">
        <f>+'budget scorte prodotti fin'!E9</f>
        <v>1250</v>
      </c>
      <c r="F4" s="24">
        <f>+'budget scorte prodotti fin'!F9</f>
        <v>1250</v>
      </c>
      <c r="G4" s="24">
        <f>+'budget scorte prodotti fin'!G9</f>
        <v>1250</v>
      </c>
      <c r="H4" s="24">
        <f>+'budget scorte prodotti fin'!H9</f>
        <v>1500</v>
      </c>
      <c r="I4" s="24">
        <f>+'budget scorte prodotti fin'!I9</f>
        <v>1500</v>
      </c>
      <c r="J4" s="24">
        <f>+'budget scorte prodotti fin'!J9</f>
        <v>0</v>
      </c>
      <c r="K4" s="24">
        <f>+'budget scorte prodotti fin'!K9</f>
        <v>2000</v>
      </c>
      <c r="L4" s="24">
        <f>+'budget scorte prodotti fin'!L9</f>
        <v>2000</v>
      </c>
      <c r="M4" s="24">
        <f>+'budget scorte prodotti fin'!M9</f>
        <v>2000</v>
      </c>
      <c r="N4" s="24">
        <f>+'budget scorte prodotti fin'!N9</f>
        <v>2000</v>
      </c>
      <c r="O4" s="27">
        <f>+SUM(C4:N4)</f>
        <v>17250</v>
      </c>
      <c r="Q4" s="24">
        <f>+'budget scorte prodotti fin'!Q9</f>
        <v>6000</v>
      </c>
      <c r="R4" s="24">
        <f>+'budget scorte prodotti fin'!R9</f>
        <v>4500</v>
      </c>
      <c r="S4" s="24">
        <f>+'budget scorte prodotti fin'!S9</f>
        <v>3000</v>
      </c>
      <c r="T4" s="24">
        <f>+'budget scorte prodotti fin'!T9</f>
        <v>4500</v>
      </c>
      <c r="U4" s="27">
        <f>+SUM(Q4:T4)</f>
        <v>18000</v>
      </c>
    </row>
    <row r="5" spans="1:21" ht="15" thickBot="1" x14ac:dyDescent="0.35">
      <c r="A5" s="121"/>
      <c r="B5" s="57" t="s">
        <v>59</v>
      </c>
      <c r="C5" s="24">
        <f>+'budget scorte prodotti fin'!C10</f>
        <v>2250</v>
      </c>
      <c r="D5" s="24">
        <f>+'budget scorte prodotti fin'!D10</f>
        <v>2250</v>
      </c>
      <c r="E5" s="24">
        <f>+'budget scorte prodotti fin'!E10</f>
        <v>2250</v>
      </c>
      <c r="F5" s="24">
        <f>+'budget scorte prodotti fin'!F10</f>
        <v>2250</v>
      </c>
      <c r="G5" s="24">
        <f>+'budget scorte prodotti fin'!G10</f>
        <v>2250</v>
      </c>
      <c r="H5" s="24">
        <f>+'budget scorte prodotti fin'!H10</f>
        <v>1750</v>
      </c>
      <c r="I5" s="24">
        <f>+'budget scorte prodotti fin'!I10</f>
        <v>1750</v>
      </c>
      <c r="J5" s="24">
        <f>+'budget scorte prodotti fin'!J10</f>
        <v>0</v>
      </c>
      <c r="K5" s="24">
        <f>+'budget scorte prodotti fin'!K10</f>
        <v>1000</v>
      </c>
      <c r="L5" s="24">
        <f>+'budget scorte prodotti fin'!L10</f>
        <v>1000</v>
      </c>
      <c r="M5" s="24">
        <f>+'budget scorte prodotti fin'!M10</f>
        <v>1250</v>
      </c>
      <c r="N5" s="24">
        <f>+'budget scorte prodotti fin'!N10</f>
        <v>1250</v>
      </c>
      <c r="O5" s="49">
        <f>+SUM(C5:N5)</f>
        <v>19250</v>
      </c>
      <c r="Q5" s="24">
        <f>+'budget scorte prodotti fin'!Q10</f>
        <v>4000</v>
      </c>
      <c r="R5" s="24">
        <f>+'budget scorte prodotti fin'!R10</f>
        <v>6000</v>
      </c>
      <c r="S5" s="24">
        <f>+'budget scorte prodotti fin'!S10</f>
        <v>4000</v>
      </c>
      <c r="T5" s="24">
        <f>+'budget scorte prodotti fin'!T10</f>
        <v>6000</v>
      </c>
      <c r="U5" s="27">
        <f t="shared" ref="U5:U6" si="0">+SUM(Q5:T5)</f>
        <v>20000</v>
      </c>
    </row>
    <row r="6" spans="1:21" ht="15" thickBot="1" x14ac:dyDescent="0.35">
      <c r="A6" s="121"/>
      <c r="B6" s="9" t="s">
        <v>1</v>
      </c>
      <c r="C6" s="28">
        <f>+C4+C5</f>
        <v>3500</v>
      </c>
      <c r="D6" s="28">
        <f t="shared" ref="D6:O6" si="1">+D4+D5</f>
        <v>3500</v>
      </c>
      <c r="E6" s="28">
        <f t="shared" si="1"/>
        <v>3500</v>
      </c>
      <c r="F6" s="28">
        <f t="shared" si="1"/>
        <v>3500</v>
      </c>
      <c r="G6" s="28">
        <f t="shared" si="1"/>
        <v>3500</v>
      </c>
      <c r="H6" s="28">
        <f t="shared" si="1"/>
        <v>3250</v>
      </c>
      <c r="I6" s="28">
        <f t="shared" si="1"/>
        <v>3250</v>
      </c>
      <c r="J6" s="28">
        <f t="shared" si="1"/>
        <v>0</v>
      </c>
      <c r="K6" s="28">
        <f t="shared" si="1"/>
        <v>3000</v>
      </c>
      <c r="L6" s="28">
        <f t="shared" si="1"/>
        <v>3000</v>
      </c>
      <c r="M6" s="28">
        <f t="shared" si="1"/>
        <v>3250</v>
      </c>
      <c r="N6" s="28">
        <f t="shared" si="1"/>
        <v>3250</v>
      </c>
      <c r="O6" s="28">
        <f t="shared" si="1"/>
        <v>36500</v>
      </c>
      <c r="Q6" s="28">
        <f t="shared" ref="Q6:T6" si="2">+Q4+Q5</f>
        <v>10000</v>
      </c>
      <c r="R6" s="28">
        <f t="shared" si="2"/>
        <v>10500</v>
      </c>
      <c r="S6" s="28">
        <f t="shared" si="2"/>
        <v>7000</v>
      </c>
      <c r="T6" s="28">
        <f t="shared" si="2"/>
        <v>10500</v>
      </c>
      <c r="U6" s="27">
        <f t="shared" si="0"/>
        <v>38000</v>
      </c>
    </row>
    <row r="7" spans="1:21" ht="15" thickBot="1" x14ac:dyDescent="0.35">
      <c r="A7" s="62"/>
      <c r="B7" s="9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21" ht="15" thickBot="1" x14ac:dyDescent="0.35">
      <c r="A8" s="77" t="s">
        <v>99</v>
      </c>
      <c r="B8" s="131" t="s">
        <v>93</v>
      </c>
    </row>
    <row r="9" spans="1:21" ht="15" thickBot="1" x14ac:dyDescent="0.35">
      <c r="A9" s="78"/>
      <c r="B9" s="132"/>
      <c r="C9" s="133" t="s">
        <v>64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21" ht="15" thickBot="1" x14ac:dyDescent="0.35">
      <c r="A10" s="6" t="s">
        <v>97</v>
      </c>
      <c r="B10" s="109">
        <v>1</v>
      </c>
      <c r="C10" s="106">
        <f>+$B10*C$4</f>
        <v>1250</v>
      </c>
      <c r="D10" s="106">
        <f t="shared" ref="D10:N11" si="3">+$B10*D$4</f>
        <v>1250</v>
      </c>
      <c r="E10" s="106">
        <f t="shared" si="3"/>
        <v>1250</v>
      </c>
      <c r="F10" s="106">
        <f t="shared" si="3"/>
        <v>1250</v>
      </c>
      <c r="G10" s="106">
        <f t="shared" si="3"/>
        <v>1250</v>
      </c>
      <c r="H10" s="106">
        <f t="shared" si="3"/>
        <v>1500</v>
      </c>
      <c r="I10" s="106">
        <f t="shared" si="3"/>
        <v>1500</v>
      </c>
      <c r="J10" s="106">
        <f t="shared" si="3"/>
        <v>0</v>
      </c>
      <c r="K10" s="106">
        <f t="shared" si="3"/>
        <v>2000</v>
      </c>
      <c r="L10" s="106">
        <f t="shared" si="3"/>
        <v>2000</v>
      </c>
      <c r="M10" s="106">
        <f t="shared" si="3"/>
        <v>2000</v>
      </c>
      <c r="N10" s="106">
        <f t="shared" si="3"/>
        <v>2000</v>
      </c>
      <c r="O10" s="49">
        <f t="shared" ref="O10:O15" si="4">+SUM(C10:N10)</f>
        <v>17250</v>
      </c>
      <c r="P10" s="18"/>
      <c r="Q10" s="72">
        <f t="shared" ref="Q10:T10" si="5">+$B10*Q$4</f>
        <v>6000</v>
      </c>
      <c r="R10" s="72">
        <f t="shared" si="5"/>
        <v>4500</v>
      </c>
      <c r="S10" s="72">
        <f t="shared" si="5"/>
        <v>3000</v>
      </c>
      <c r="T10" s="72">
        <f t="shared" si="5"/>
        <v>4500</v>
      </c>
      <c r="U10" s="27">
        <f>+SUM(Q10:T10)</f>
        <v>18000</v>
      </c>
    </row>
    <row r="11" spans="1:21" ht="15" thickBot="1" x14ac:dyDescent="0.35">
      <c r="A11" s="1" t="s">
        <v>96</v>
      </c>
      <c r="B11" s="110">
        <v>2</v>
      </c>
      <c r="C11" s="107">
        <f t="shared" ref="C11" si="6">+$B11*C$4</f>
        <v>2500</v>
      </c>
      <c r="D11" s="107">
        <f t="shared" si="3"/>
        <v>2500</v>
      </c>
      <c r="E11" s="107">
        <f t="shared" si="3"/>
        <v>2500</v>
      </c>
      <c r="F11" s="107">
        <f t="shared" si="3"/>
        <v>2500</v>
      </c>
      <c r="G11" s="107">
        <f t="shared" si="3"/>
        <v>2500</v>
      </c>
      <c r="H11" s="107">
        <f t="shared" si="3"/>
        <v>3000</v>
      </c>
      <c r="I11" s="107">
        <f t="shared" si="3"/>
        <v>3000</v>
      </c>
      <c r="J11" s="107">
        <f t="shared" si="3"/>
        <v>0</v>
      </c>
      <c r="K11" s="107">
        <f t="shared" si="3"/>
        <v>4000</v>
      </c>
      <c r="L11" s="107">
        <f t="shared" si="3"/>
        <v>4000</v>
      </c>
      <c r="M11" s="107">
        <f t="shared" si="3"/>
        <v>4000</v>
      </c>
      <c r="N11" s="107">
        <f t="shared" si="3"/>
        <v>4000</v>
      </c>
      <c r="O11" s="49">
        <f t="shared" si="4"/>
        <v>34500</v>
      </c>
      <c r="P11" s="18"/>
      <c r="Q11" s="73">
        <f t="shared" ref="Q11:T11" si="7">+$B11*Q$5</f>
        <v>8000</v>
      </c>
      <c r="R11" s="73">
        <f t="shared" si="7"/>
        <v>12000</v>
      </c>
      <c r="S11" s="73">
        <f t="shared" si="7"/>
        <v>8000</v>
      </c>
      <c r="T11" s="73">
        <f t="shared" si="7"/>
        <v>12000</v>
      </c>
      <c r="U11" s="27">
        <f t="shared" ref="U11" si="8">+SUM(Q11:T11)</f>
        <v>40000</v>
      </c>
    </row>
    <row r="12" spans="1:21" ht="7.2" customHeight="1" x14ac:dyDescent="0.3">
      <c r="A12" s="66"/>
      <c r="B12" s="67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63"/>
      <c r="P12" s="18"/>
    </row>
    <row r="13" spans="1:21" x14ac:dyDescent="0.3">
      <c r="A13" s="66"/>
      <c r="B13" s="67" t="s">
        <v>128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63"/>
      <c r="P13" s="18"/>
    </row>
    <row r="14" spans="1:21" ht="15" thickBot="1" x14ac:dyDescent="0.35">
      <c r="A14" s="6" t="s">
        <v>126</v>
      </c>
      <c r="B14" s="67" t="e">
        <f>+'budget scorte mat ed acquisti'!O26</f>
        <v>#DIV/0!</v>
      </c>
      <c r="C14" s="74" t="e">
        <f>$B14*C10</f>
        <v>#DIV/0!</v>
      </c>
      <c r="D14" s="74" t="e">
        <f t="shared" ref="D14:N14" si="9">$B14*D10</f>
        <v>#DIV/0!</v>
      </c>
      <c r="E14" s="74" t="e">
        <f t="shared" si="9"/>
        <v>#DIV/0!</v>
      </c>
      <c r="F14" s="74" t="e">
        <f t="shared" si="9"/>
        <v>#DIV/0!</v>
      </c>
      <c r="G14" s="74" t="e">
        <f t="shared" si="9"/>
        <v>#DIV/0!</v>
      </c>
      <c r="H14" s="74" t="e">
        <f t="shared" si="9"/>
        <v>#DIV/0!</v>
      </c>
      <c r="I14" s="74" t="e">
        <f t="shared" si="9"/>
        <v>#DIV/0!</v>
      </c>
      <c r="J14" s="74" t="e">
        <f t="shared" si="9"/>
        <v>#DIV/0!</v>
      </c>
      <c r="K14" s="74" t="e">
        <f t="shared" si="9"/>
        <v>#DIV/0!</v>
      </c>
      <c r="L14" s="74" t="e">
        <f t="shared" si="9"/>
        <v>#DIV/0!</v>
      </c>
      <c r="M14" s="74" t="e">
        <f t="shared" si="9"/>
        <v>#DIV/0!</v>
      </c>
      <c r="N14" s="74" t="e">
        <f t="shared" si="9"/>
        <v>#DIV/0!</v>
      </c>
      <c r="O14" s="49" t="e">
        <f t="shared" si="4"/>
        <v>#DIV/0!</v>
      </c>
      <c r="P14" s="18"/>
    </row>
    <row r="15" spans="1:21" ht="15" thickBot="1" x14ac:dyDescent="0.35">
      <c r="A15" s="1" t="s">
        <v>127</v>
      </c>
      <c r="B15" s="67" t="e">
        <f>+'budget scorte mat ed acquisti'!O47</f>
        <v>#DIV/0!</v>
      </c>
      <c r="C15" s="74" t="e">
        <f>$B15*C11</f>
        <v>#DIV/0!</v>
      </c>
      <c r="D15" s="74" t="e">
        <f t="shared" ref="D15:N15" si="10">$B15*D11</f>
        <v>#DIV/0!</v>
      </c>
      <c r="E15" s="74" t="e">
        <f t="shared" si="10"/>
        <v>#DIV/0!</v>
      </c>
      <c r="F15" s="74" t="e">
        <f t="shared" si="10"/>
        <v>#DIV/0!</v>
      </c>
      <c r="G15" s="74" t="e">
        <f t="shared" si="10"/>
        <v>#DIV/0!</v>
      </c>
      <c r="H15" s="74" t="e">
        <f t="shared" si="10"/>
        <v>#DIV/0!</v>
      </c>
      <c r="I15" s="74" t="e">
        <f t="shared" si="10"/>
        <v>#DIV/0!</v>
      </c>
      <c r="J15" s="74" t="e">
        <f t="shared" si="10"/>
        <v>#DIV/0!</v>
      </c>
      <c r="K15" s="74" t="e">
        <f t="shared" si="10"/>
        <v>#DIV/0!</v>
      </c>
      <c r="L15" s="74" t="e">
        <f t="shared" si="10"/>
        <v>#DIV/0!</v>
      </c>
      <c r="M15" s="74" t="e">
        <f t="shared" si="10"/>
        <v>#DIV/0!</v>
      </c>
      <c r="N15" s="74" t="e">
        <f t="shared" si="10"/>
        <v>#DIV/0!</v>
      </c>
      <c r="O15" s="49" t="e">
        <f t="shared" si="4"/>
        <v>#DIV/0!</v>
      </c>
      <c r="P15" s="18"/>
    </row>
    <row r="16" spans="1:21" x14ac:dyDescent="0.3">
      <c r="A16" s="66"/>
      <c r="B16" s="67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63"/>
      <c r="P16" s="18"/>
    </row>
    <row r="17" spans="1:21" ht="15" thickBot="1" x14ac:dyDescent="0.35">
      <c r="A17" s="66"/>
      <c r="B17" s="67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8"/>
      <c r="P17" s="18"/>
    </row>
    <row r="18" spans="1:21" x14ac:dyDescent="0.3">
      <c r="A18" s="77" t="s">
        <v>98</v>
      </c>
      <c r="B18" s="131" t="s">
        <v>93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8"/>
      <c r="P18" s="18"/>
    </row>
    <row r="19" spans="1:21" ht="15" thickBot="1" x14ac:dyDescent="0.35">
      <c r="A19" s="78"/>
      <c r="B19" s="132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18"/>
      <c r="P19" s="18"/>
    </row>
    <row r="20" spans="1:21" ht="15" thickBot="1" x14ac:dyDescent="0.35">
      <c r="A20" s="6" t="s">
        <v>97</v>
      </c>
      <c r="B20" s="109">
        <v>1.5</v>
      </c>
      <c r="C20" s="106">
        <f>+$B20*C$5</f>
        <v>3375</v>
      </c>
      <c r="D20" s="106">
        <f t="shared" ref="D20:N21" si="11">+$B20*D$5</f>
        <v>3375</v>
      </c>
      <c r="E20" s="106">
        <f t="shared" si="11"/>
        <v>3375</v>
      </c>
      <c r="F20" s="106">
        <f t="shared" si="11"/>
        <v>3375</v>
      </c>
      <c r="G20" s="106">
        <f t="shared" si="11"/>
        <v>3375</v>
      </c>
      <c r="H20" s="106">
        <f t="shared" si="11"/>
        <v>2625</v>
      </c>
      <c r="I20" s="106">
        <f t="shared" si="11"/>
        <v>2625</v>
      </c>
      <c r="J20" s="106">
        <f t="shared" si="11"/>
        <v>0</v>
      </c>
      <c r="K20" s="106">
        <f t="shared" si="11"/>
        <v>1500</v>
      </c>
      <c r="L20" s="106">
        <f t="shared" si="11"/>
        <v>1500</v>
      </c>
      <c r="M20" s="106">
        <f t="shared" si="11"/>
        <v>1875</v>
      </c>
      <c r="N20" s="106">
        <f t="shared" si="11"/>
        <v>1875</v>
      </c>
      <c r="O20" s="49">
        <f t="shared" ref="O20:O21" si="12">+SUM(C20:N20)</f>
        <v>28875</v>
      </c>
      <c r="P20" s="18"/>
      <c r="Q20" s="72">
        <f t="shared" ref="Q20:T20" si="13">+$B20*Q$4</f>
        <v>9000</v>
      </c>
      <c r="R20" s="72">
        <f t="shared" si="13"/>
        <v>6750</v>
      </c>
      <c r="S20" s="72">
        <f t="shared" si="13"/>
        <v>4500</v>
      </c>
      <c r="T20" s="72">
        <f t="shared" si="13"/>
        <v>6750</v>
      </c>
      <c r="U20" s="27">
        <f>+SUM(Q20:T20)</f>
        <v>27000</v>
      </c>
    </row>
    <row r="21" spans="1:21" ht="15" thickBot="1" x14ac:dyDescent="0.35">
      <c r="A21" s="1" t="s">
        <v>100</v>
      </c>
      <c r="B21" s="110">
        <v>2.5</v>
      </c>
      <c r="C21" s="107">
        <f t="shared" ref="C21" si="14">+$B21*C$5</f>
        <v>5625</v>
      </c>
      <c r="D21" s="107">
        <f t="shared" si="11"/>
        <v>5625</v>
      </c>
      <c r="E21" s="107">
        <f t="shared" si="11"/>
        <v>5625</v>
      </c>
      <c r="F21" s="107">
        <f t="shared" si="11"/>
        <v>5625</v>
      </c>
      <c r="G21" s="107">
        <f t="shared" si="11"/>
        <v>5625</v>
      </c>
      <c r="H21" s="107">
        <f t="shared" si="11"/>
        <v>4375</v>
      </c>
      <c r="I21" s="107">
        <f t="shared" si="11"/>
        <v>4375</v>
      </c>
      <c r="J21" s="107">
        <f t="shared" si="11"/>
        <v>0</v>
      </c>
      <c r="K21" s="107">
        <f t="shared" si="11"/>
        <v>2500</v>
      </c>
      <c r="L21" s="107">
        <f t="shared" si="11"/>
        <v>2500</v>
      </c>
      <c r="M21" s="107">
        <f t="shared" si="11"/>
        <v>3125</v>
      </c>
      <c r="N21" s="107">
        <f t="shared" si="11"/>
        <v>3125</v>
      </c>
      <c r="O21" s="49">
        <f t="shared" si="12"/>
        <v>48125</v>
      </c>
      <c r="P21" s="18"/>
      <c r="Q21" s="73">
        <f t="shared" ref="Q21:T21" si="15">+$B21*Q$5</f>
        <v>10000</v>
      </c>
      <c r="R21" s="73">
        <f t="shared" si="15"/>
        <v>15000</v>
      </c>
      <c r="S21" s="73">
        <f t="shared" si="15"/>
        <v>10000</v>
      </c>
      <c r="T21" s="73">
        <f t="shared" si="15"/>
        <v>15000</v>
      </c>
      <c r="U21" s="27">
        <f t="shared" ref="U21" si="16">+SUM(Q21:T21)</f>
        <v>50000</v>
      </c>
    </row>
    <row r="22" spans="1:21" x14ac:dyDescent="0.3">
      <c r="A22" s="66"/>
      <c r="B22" s="67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18"/>
      <c r="P22" s="18"/>
      <c r="Q22" s="74"/>
      <c r="R22" s="74"/>
      <c r="S22" s="74"/>
      <c r="T22" s="74"/>
    </row>
    <row r="23" spans="1:21" x14ac:dyDescent="0.3">
      <c r="A23" s="66"/>
      <c r="B23" s="67" t="s">
        <v>128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3"/>
      <c r="P23" s="18"/>
    </row>
    <row r="24" spans="1:21" ht="15" thickBot="1" x14ac:dyDescent="0.35">
      <c r="A24" s="6" t="s">
        <v>126</v>
      </c>
      <c r="B24" s="67" t="e">
        <f>+'budget scorte mat ed acquisti'!O26</f>
        <v>#DIV/0!</v>
      </c>
      <c r="C24" s="74" t="e">
        <f>$B24*C20</f>
        <v>#DIV/0!</v>
      </c>
      <c r="D24" s="74" t="e">
        <f t="shared" ref="D24:N24" si="17">$B24*D20</f>
        <v>#DIV/0!</v>
      </c>
      <c r="E24" s="74" t="e">
        <f t="shared" si="17"/>
        <v>#DIV/0!</v>
      </c>
      <c r="F24" s="74" t="e">
        <f t="shared" si="17"/>
        <v>#DIV/0!</v>
      </c>
      <c r="G24" s="74" t="e">
        <f t="shared" si="17"/>
        <v>#DIV/0!</v>
      </c>
      <c r="H24" s="74" t="e">
        <f t="shared" si="17"/>
        <v>#DIV/0!</v>
      </c>
      <c r="I24" s="74" t="e">
        <f t="shared" si="17"/>
        <v>#DIV/0!</v>
      </c>
      <c r="J24" s="74" t="e">
        <f t="shared" si="17"/>
        <v>#DIV/0!</v>
      </c>
      <c r="K24" s="74" t="e">
        <f t="shared" si="17"/>
        <v>#DIV/0!</v>
      </c>
      <c r="L24" s="74" t="e">
        <f t="shared" si="17"/>
        <v>#DIV/0!</v>
      </c>
      <c r="M24" s="74" t="e">
        <f t="shared" si="17"/>
        <v>#DIV/0!</v>
      </c>
      <c r="N24" s="74" t="e">
        <f t="shared" si="17"/>
        <v>#DIV/0!</v>
      </c>
      <c r="O24" s="49" t="e">
        <f t="shared" ref="O24:O25" si="18">+SUM(C24:N24)</f>
        <v>#DIV/0!</v>
      </c>
      <c r="P24" s="18"/>
    </row>
    <row r="25" spans="1:21" ht="15" thickBot="1" x14ac:dyDescent="0.35">
      <c r="A25" s="1" t="s">
        <v>129</v>
      </c>
      <c r="B25" s="67" t="e">
        <f>+'budget scorte mat ed acquisti'!O67</f>
        <v>#DIV/0!</v>
      </c>
      <c r="C25" s="74" t="e">
        <f>$B25*C21</f>
        <v>#DIV/0!</v>
      </c>
      <c r="D25" s="74" t="e">
        <f t="shared" ref="D25:N25" si="19">$B25*D21</f>
        <v>#DIV/0!</v>
      </c>
      <c r="E25" s="74" t="e">
        <f t="shared" si="19"/>
        <v>#DIV/0!</v>
      </c>
      <c r="F25" s="74" t="e">
        <f t="shared" si="19"/>
        <v>#DIV/0!</v>
      </c>
      <c r="G25" s="74" t="e">
        <f t="shared" si="19"/>
        <v>#DIV/0!</v>
      </c>
      <c r="H25" s="74" t="e">
        <f t="shared" si="19"/>
        <v>#DIV/0!</v>
      </c>
      <c r="I25" s="74" t="e">
        <f t="shared" si="19"/>
        <v>#DIV/0!</v>
      </c>
      <c r="J25" s="74" t="e">
        <f t="shared" si="19"/>
        <v>#DIV/0!</v>
      </c>
      <c r="K25" s="74" t="e">
        <f t="shared" si="19"/>
        <v>#DIV/0!</v>
      </c>
      <c r="L25" s="74" t="e">
        <f t="shared" si="19"/>
        <v>#DIV/0!</v>
      </c>
      <c r="M25" s="74" t="e">
        <f t="shared" si="19"/>
        <v>#DIV/0!</v>
      </c>
      <c r="N25" s="74" t="e">
        <f t="shared" si="19"/>
        <v>#DIV/0!</v>
      </c>
      <c r="O25" s="49" t="e">
        <f t="shared" si="18"/>
        <v>#DIV/0!</v>
      </c>
      <c r="P25" s="18"/>
    </row>
    <row r="26" spans="1:21" x14ac:dyDescent="0.3">
      <c r="B26" s="8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3"/>
      <c r="P26" s="18"/>
      <c r="Q26" s="13"/>
    </row>
    <row r="27" spans="1:21" ht="15" thickBot="1" x14ac:dyDescent="0.35">
      <c r="A27" t="s">
        <v>101</v>
      </c>
      <c r="B27" s="8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1" ht="15" thickBot="1" x14ac:dyDescent="0.35">
      <c r="A28" s="6" t="s">
        <v>97</v>
      </c>
      <c r="B28" s="81"/>
      <c r="C28" s="18">
        <f t="shared" ref="C28:N28" si="20">+C10+C20</f>
        <v>4625</v>
      </c>
      <c r="D28" s="18">
        <f t="shared" si="20"/>
        <v>4625</v>
      </c>
      <c r="E28" s="18">
        <f t="shared" si="20"/>
        <v>4625</v>
      </c>
      <c r="F28" s="18">
        <f t="shared" si="20"/>
        <v>4625</v>
      </c>
      <c r="G28" s="18">
        <f t="shared" si="20"/>
        <v>4625</v>
      </c>
      <c r="H28" s="18">
        <f t="shared" si="20"/>
        <v>4125</v>
      </c>
      <c r="I28" s="18">
        <f t="shared" si="20"/>
        <v>4125</v>
      </c>
      <c r="J28" s="18">
        <f t="shared" si="20"/>
        <v>0</v>
      </c>
      <c r="K28" s="18">
        <f t="shared" si="20"/>
        <v>3500</v>
      </c>
      <c r="L28" s="18">
        <f t="shared" si="20"/>
        <v>3500</v>
      </c>
      <c r="M28" s="18">
        <f t="shared" si="20"/>
        <v>3875</v>
      </c>
      <c r="N28" s="18">
        <f t="shared" si="20"/>
        <v>3875</v>
      </c>
      <c r="O28" s="18"/>
      <c r="P28" s="18"/>
      <c r="Q28" s="18">
        <f>+Q10+Q20</f>
        <v>15000</v>
      </c>
      <c r="R28" s="18">
        <f>+R10+R20</f>
        <v>11250</v>
      </c>
      <c r="S28" s="18">
        <f>+S10+S20</f>
        <v>7500</v>
      </c>
      <c r="T28" s="18">
        <f>+T10+T20</f>
        <v>11250</v>
      </c>
      <c r="U28" s="27">
        <f t="shared" ref="U28:U30" si="21">+SUM(Q28:T28)</f>
        <v>45000</v>
      </c>
    </row>
    <row r="29" spans="1:21" ht="15" thickBot="1" x14ac:dyDescent="0.35">
      <c r="A29" s="1" t="s">
        <v>96</v>
      </c>
      <c r="B29" s="81"/>
      <c r="C29" s="18">
        <f t="shared" ref="C29:N29" si="22">+C11</f>
        <v>2500</v>
      </c>
      <c r="D29" s="18">
        <f t="shared" si="22"/>
        <v>2500</v>
      </c>
      <c r="E29" s="18">
        <f t="shared" si="22"/>
        <v>2500</v>
      </c>
      <c r="F29" s="18">
        <f t="shared" si="22"/>
        <v>2500</v>
      </c>
      <c r="G29" s="18">
        <f t="shared" si="22"/>
        <v>2500</v>
      </c>
      <c r="H29" s="18">
        <f t="shared" si="22"/>
        <v>3000</v>
      </c>
      <c r="I29" s="18">
        <f t="shared" si="22"/>
        <v>3000</v>
      </c>
      <c r="J29" s="18">
        <f t="shared" si="22"/>
        <v>0</v>
      </c>
      <c r="K29" s="18">
        <f t="shared" si="22"/>
        <v>4000</v>
      </c>
      <c r="L29" s="18">
        <f t="shared" si="22"/>
        <v>4000</v>
      </c>
      <c r="M29" s="18">
        <f t="shared" si="22"/>
        <v>4000</v>
      </c>
      <c r="N29" s="18">
        <f t="shared" si="22"/>
        <v>4000</v>
      </c>
      <c r="O29" s="18"/>
      <c r="P29" s="18"/>
      <c r="Q29" s="18">
        <f>+Q11</f>
        <v>8000</v>
      </c>
      <c r="R29" s="18">
        <f>+R11</f>
        <v>12000</v>
      </c>
      <c r="S29" s="18">
        <f>+S11</f>
        <v>8000</v>
      </c>
      <c r="T29" s="18">
        <f>+T11</f>
        <v>12000</v>
      </c>
      <c r="U29" s="27">
        <f t="shared" si="21"/>
        <v>40000</v>
      </c>
    </row>
    <row r="30" spans="1:21" x14ac:dyDescent="0.3">
      <c r="A30" s="1" t="s">
        <v>100</v>
      </c>
      <c r="B30" s="81"/>
      <c r="C30" s="18">
        <f>+C21</f>
        <v>5625</v>
      </c>
      <c r="D30" s="18">
        <f t="shared" ref="D30:N30" si="23">+D21</f>
        <v>5625</v>
      </c>
      <c r="E30" s="18">
        <f t="shared" si="23"/>
        <v>5625</v>
      </c>
      <c r="F30" s="18">
        <f t="shared" si="23"/>
        <v>5625</v>
      </c>
      <c r="G30" s="18">
        <f t="shared" si="23"/>
        <v>5625</v>
      </c>
      <c r="H30" s="18">
        <f t="shared" si="23"/>
        <v>4375</v>
      </c>
      <c r="I30" s="18">
        <f t="shared" si="23"/>
        <v>4375</v>
      </c>
      <c r="J30" s="18">
        <f t="shared" si="23"/>
        <v>0</v>
      </c>
      <c r="K30" s="18">
        <f t="shared" si="23"/>
        <v>2500</v>
      </c>
      <c r="L30" s="18">
        <f t="shared" si="23"/>
        <v>2500</v>
      </c>
      <c r="M30" s="18">
        <f t="shared" si="23"/>
        <v>3125</v>
      </c>
      <c r="N30" s="18">
        <f t="shared" si="23"/>
        <v>3125</v>
      </c>
      <c r="O30" s="18"/>
      <c r="P30" s="18"/>
      <c r="Q30" s="18">
        <f t="shared" ref="Q30:T30" si="24">+Q21</f>
        <v>10000</v>
      </c>
      <c r="R30" s="18">
        <f t="shared" si="24"/>
        <v>15000</v>
      </c>
      <c r="S30" s="18">
        <f t="shared" si="24"/>
        <v>10000</v>
      </c>
      <c r="T30" s="18">
        <f t="shared" si="24"/>
        <v>15000</v>
      </c>
      <c r="U30" s="27">
        <f t="shared" si="21"/>
        <v>50000</v>
      </c>
    </row>
    <row r="31" spans="1:21" x14ac:dyDescent="0.3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21" x14ac:dyDescent="0.3">
      <c r="A32" s="7" t="s">
        <v>148</v>
      </c>
      <c r="B32" s="7"/>
      <c r="C32" s="75"/>
    </row>
    <row r="33" spans="1:17" ht="15" thickBot="1" x14ac:dyDescent="0.35">
      <c r="A33" s="7" t="s">
        <v>58</v>
      </c>
      <c r="B33" s="7"/>
      <c r="C33" s="75" t="e">
        <f>+SUM(C14:C15)</f>
        <v>#DIV/0!</v>
      </c>
      <c r="D33" s="75" t="e">
        <f t="shared" ref="D33:N33" si="25">+SUM(D14:D15)</f>
        <v>#DIV/0!</v>
      </c>
      <c r="E33" s="75" t="e">
        <f t="shared" si="25"/>
        <v>#DIV/0!</v>
      </c>
      <c r="F33" s="75" t="e">
        <f>+SUM(F14:F15)</f>
        <v>#DIV/0!</v>
      </c>
      <c r="G33" s="75" t="e">
        <f t="shared" si="25"/>
        <v>#DIV/0!</v>
      </c>
      <c r="H33" s="75" t="e">
        <f t="shared" si="25"/>
        <v>#DIV/0!</v>
      </c>
      <c r="I33" s="75" t="e">
        <f t="shared" si="25"/>
        <v>#DIV/0!</v>
      </c>
      <c r="J33" s="75" t="e">
        <f t="shared" si="25"/>
        <v>#DIV/0!</v>
      </c>
      <c r="K33" s="75" t="e">
        <f t="shared" si="25"/>
        <v>#DIV/0!</v>
      </c>
      <c r="L33" s="75" t="e">
        <f t="shared" si="25"/>
        <v>#DIV/0!</v>
      </c>
      <c r="M33" s="75" t="e">
        <f t="shared" si="25"/>
        <v>#DIV/0!</v>
      </c>
      <c r="N33" s="75" t="e">
        <f t="shared" si="25"/>
        <v>#DIV/0!</v>
      </c>
      <c r="O33" s="76" t="e">
        <f t="shared" ref="O33:O34" si="26">+SUM(C33:N33)</f>
        <v>#DIV/0!</v>
      </c>
      <c r="Q33" s="13" t="e">
        <f>+O33/'budget vendite'!N10</f>
        <v>#DIV/0!</v>
      </c>
    </row>
    <row r="34" spans="1:17" ht="15" thickBot="1" x14ac:dyDescent="0.35">
      <c r="A34" s="7" t="s">
        <v>59</v>
      </c>
      <c r="B34" s="7"/>
      <c r="C34" s="75" t="e">
        <f>+SUM(C24:C25)</f>
        <v>#DIV/0!</v>
      </c>
      <c r="D34" s="75" t="e">
        <f t="shared" ref="D34:N34" si="27">+SUM(D24:D25)</f>
        <v>#DIV/0!</v>
      </c>
      <c r="E34" s="75" t="e">
        <f t="shared" si="27"/>
        <v>#DIV/0!</v>
      </c>
      <c r="F34" s="75" t="e">
        <f t="shared" si="27"/>
        <v>#DIV/0!</v>
      </c>
      <c r="G34" s="75" t="e">
        <f t="shared" si="27"/>
        <v>#DIV/0!</v>
      </c>
      <c r="H34" s="75" t="e">
        <f t="shared" si="27"/>
        <v>#DIV/0!</v>
      </c>
      <c r="I34" s="75" t="e">
        <f t="shared" si="27"/>
        <v>#DIV/0!</v>
      </c>
      <c r="J34" s="75" t="e">
        <f t="shared" si="27"/>
        <v>#DIV/0!</v>
      </c>
      <c r="K34" s="75" t="e">
        <f t="shared" si="27"/>
        <v>#DIV/0!</v>
      </c>
      <c r="L34" s="75" t="e">
        <f t="shared" si="27"/>
        <v>#DIV/0!</v>
      </c>
      <c r="M34" s="75" t="e">
        <f t="shared" si="27"/>
        <v>#DIV/0!</v>
      </c>
      <c r="N34" s="75" t="e">
        <f t="shared" si="27"/>
        <v>#DIV/0!</v>
      </c>
      <c r="O34" s="76" t="e">
        <f t="shared" si="26"/>
        <v>#DIV/0!</v>
      </c>
      <c r="Q34" s="13" t="e">
        <f>+O34/'budget vendite'!N11</f>
        <v>#DIV/0!</v>
      </c>
    </row>
  </sheetData>
  <mergeCells count="6">
    <mergeCell ref="B18:B19"/>
    <mergeCell ref="C1:O1"/>
    <mergeCell ref="Q1:U1"/>
    <mergeCell ref="A4:A6"/>
    <mergeCell ref="B8:B9"/>
    <mergeCell ref="C9:N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B91E-BD37-4D45-9C69-0BADA794F892}">
  <dimension ref="A1:AT67"/>
  <sheetViews>
    <sheetView zoomScale="120" zoomScaleNormal="120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B45" sqref="B45"/>
    </sheetView>
  </sheetViews>
  <sheetFormatPr defaultRowHeight="14.4" x14ac:dyDescent="0.3"/>
  <cols>
    <col min="1" max="1" width="21.77734375" customWidth="1"/>
    <col min="2" max="2" width="16" bestFit="1" customWidth="1"/>
    <col min="3" max="3" width="8.21875" bestFit="1" customWidth="1"/>
    <col min="4" max="4" width="10.33203125" bestFit="1" customWidth="1"/>
    <col min="5" max="5" width="10.5546875" bestFit="1" customWidth="1"/>
    <col min="6" max="6" width="10.44140625" bestFit="1" customWidth="1"/>
    <col min="7" max="7" width="10.33203125" bestFit="1" customWidth="1"/>
    <col min="8" max="9" width="7.77734375" bestFit="1" customWidth="1"/>
    <col min="10" max="11" width="8.77734375" bestFit="1" customWidth="1"/>
    <col min="12" max="12" width="10.33203125" bestFit="1" customWidth="1"/>
    <col min="13" max="13" width="8.5546875" customWidth="1"/>
    <col min="14" max="14" width="10.33203125" bestFit="1" customWidth="1"/>
    <col min="15" max="15" width="8.6640625" bestFit="1" customWidth="1"/>
    <col min="16" max="16" width="1.109375" customWidth="1"/>
    <col min="17" max="18" width="6.5546875" bestFit="1" customWidth="1"/>
    <col min="19" max="21" width="7.5546875" bestFit="1" customWidth="1"/>
  </cols>
  <sheetData>
    <row r="1" spans="1:21" x14ac:dyDescent="0.3">
      <c r="A1" s="18"/>
      <c r="B1" s="55"/>
      <c r="C1" s="115" t="s">
        <v>16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Q1" s="115" t="s">
        <v>17</v>
      </c>
      <c r="R1" s="116"/>
      <c r="S1" s="116"/>
      <c r="T1" s="116"/>
      <c r="U1" s="117"/>
    </row>
    <row r="2" spans="1:21" ht="15" thickBot="1" x14ac:dyDescent="0.35">
      <c r="A2" s="18"/>
      <c r="B2" s="55"/>
      <c r="C2" s="19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1" t="s">
        <v>29</v>
      </c>
      <c r="O2" s="22" t="s">
        <v>1</v>
      </c>
      <c r="Q2" s="19" t="s">
        <v>30</v>
      </c>
      <c r="R2" s="20" t="s">
        <v>31</v>
      </c>
      <c r="S2" s="23" t="s">
        <v>32</v>
      </c>
      <c r="T2" s="21" t="s">
        <v>33</v>
      </c>
      <c r="U2" s="22" t="s">
        <v>1</v>
      </c>
    </row>
    <row r="3" spans="1:21" ht="15" thickBot="1" x14ac:dyDescent="0.35">
      <c r="A3" s="119" t="s">
        <v>149</v>
      </c>
      <c r="B3" s="56" t="str">
        <f>+BOM!A28</f>
        <v>materiale C litri</v>
      </c>
      <c r="C3" s="24">
        <f>+BOM!C28</f>
        <v>4625</v>
      </c>
      <c r="D3" s="24">
        <f>+BOM!D28</f>
        <v>4625</v>
      </c>
      <c r="E3" s="24">
        <f>+BOM!E28</f>
        <v>4625</v>
      </c>
      <c r="F3" s="24">
        <f>+BOM!F28</f>
        <v>4625</v>
      </c>
      <c r="G3" s="24">
        <f>+BOM!G28</f>
        <v>4625</v>
      </c>
      <c r="H3" s="24">
        <f>+BOM!H28</f>
        <v>4125</v>
      </c>
      <c r="I3" s="24">
        <f>+BOM!I28</f>
        <v>4125</v>
      </c>
      <c r="J3" s="24">
        <f>+BOM!J28</f>
        <v>0</v>
      </c>
      <c r="K3" s="24">
        <f>+BOM!K28</f>
        <v>3500</v>
      </c>
      <c r="L3" s="24">
        <f>+BOM!L28</f>
        <v>3500</v>
      </c>
      <c r="M3" s="24">
        <f>+BOM!M28</f>
        <v>3875</v>
      </c>
      <c r="N3" s="24">
        <f>+BOM!N28</f>
        <v>3875</v>
      </c>
      <c r="O3" s="27">
        <f>+SUM(C3:N3)</f>
        <v>46125</v>
      </c>
      <c r="Q3" s="24">
        <f>+BOM!Q28</f>
        <v>15000</v>
      </c>
      <c r="R3" s="24">
        <f>+BOM!R28</f>
        <v>11250</v>
      </c>
      <c r="S3" s="24">
        <f>+BOM!S28</f>
        <v>7500</v>
      </c>
      <c r="T3" s="24">
        <f>+BOM!T28</f>
        <v>11250</v>
      </c>
      <c r="U3" s="27">
        <f>+SUM(Q3:T3)</f>
        <v>45000</v>
      </c>
    </row>
    <row r="4" spans="1:21" ht="15" thickBot="1" x14ac:dyDescent="0.35">
      <c r="A4" s="134"/>
      <c r="B4" s="56" t="str">
        <f>+BOM!A29</f>
        <v>materiale D metri</v>
      </c>
      <c r="C4" s="24">
        <f>+BOM!C29</f>
        <v>2500</v>
      </c>
      <c r="D4" s="24">
        <f>+BOM!D29</f>
        <v>2500</v>
      </c>
      <c r="E4" s="24">
        <f>+BOM!E29</f>
        <v>2500</v>
      </c>
      <c r="F4" s="24">
        <f>+BOM!F29</f>
        <v>2500</v>
      </c>
      <c r="G4" s="24">
        <f>+BOM!G29</f>
        <v>2500</v>
      </c>
      <c r="H4" s="24">
        <f>+BOM!H29</f>
        <v>3000</v>
      </c>
      <c r="I4" s="24">
        <f>+BOM!I29</f>
        <v>3000</v>
      </c>
      <c r="J4" s="24">
        <f>+BOM!J29</f>
        <v>0</v>
      </c>
      <c r="K4" s="24">
        <f>+BOM!K29</f>
        <v>4000</v>
      </c>
      <c r="L4" s="24">
        <f>+BOM!L29</f>
        <v>4000</v>
      </c>
      <c r="M4" s="24">
        <f>+BOM!M29</f>
        <v>4000</v>
      </c>
      <c r="N4" s="24">
        <f>+BOM!N29</f>
        <v>4000</v>
      </c>
      <c r="O4" s="27">
        <f t="shared" ref="O4:O5" si="0">+SUM(C4:N4)</f>
        <v>34500</v>
      </c>
      <c r="Q4" s="24">
        <f>+BOM!Q29</f>
        <v>8000</v>
      </c>
      <c r="R4" s="24">
        <f>+BOM!R29</f>
        <v>12000</v>
      </c>
      <c r="S4" s="24">
        <f>+BOM!S29</f>
        <v>8000</v>
      </c>
      <c r="T4" s="24">
        <f>+BOM!T29</f>
        <v>12000</v>
      </c>
      <c r="U4" s="27">
        <f t="shared" ref="U4:U5" si="1">+SUM(Q4:T4)</f>
        <v>40000</v>
      </c>
    </row>
    <row r="5" spans="1:21" ht="15" thickBot="1" x14ac:dyDescent="0.35">
      <c r="A5" s="120"/>
      <c r="B5" s="56" t="str">
        <f>+BOM!A30</f>
        <v>materiale E metri</v>
      </c>
      <c r="C5" s="24">
        <f>+BOM!C30</f>
        <v>5625</v>
      </c>
      <c r="D5" s="24">
        <f>+BOM!D30</f>
        <v>5625</v>
      </c>
      <c r="E5" s="24">
        <f>+BOM!E30</f>
        <v>5625</v>
      </c>
      <c r="F5" s="24">
        <f>+BOM!F30</f>
        <v>5625</v>
      </c>
      <c r="G5" s="24">
        <f>+BOM!G30</f>
        <v>5625</v>
      </c>
      <c r="H5" s="24">
        <f>+BOM!H30</f>
        <v>4375</v>
      </c>
      <c r="I5" s="24">
        <f>+BOM!I30</f>
        <v>4375</v>
      </c>
      <c r="J5" s="24">
        <f>+BOM!J30</f>
        <v>0</v>
      </c>
      <c r="K5" s="24">
        <f>+BOM!K30</f>
        <v>2500</v>
      </c>
      <c r="L5" s="24">
        <f>+BOM!L30</f>
        <v>2500</v>
      </c>
      <c r="M5" s="24">
        <f>+BOM!M30</f>
        <v>3125</v>
      </c>
      <c r="N5" s="24">
        <f>+BOM!N30</f>
        <v>3125</v>
      </c>
      <c r="O5" s="27">
        <f t="shared" si="0"/>
        <v>48125</v>
      </c>
      <c r="Q5" s="24">
        <f>+BOM!Q30</f>
        <v>10000</v>
      </c>
      <c r="R5" s="24">
        <f>+BOM!R30</f>
        <v>15000</v>
      </c>
      <c r="S5" s="24">
        <f>+BOM!S30</f>
        <v>10000</v>
      </c>
      <c r="T5" s="24">
        <f>+BOM!T30</f>
        <v>15000</v>
      </c>
      <c r="U5" s="27">
        <f t="shared" si="1"/>
        <v>50000</v>
      </c>
    </row>
    <row r="6" spans="1:21" ht="15" thickBot="1" x14ac:dyDescent="0.35">
      <c r="B6" s="9" t="s">
        <v>1</v>
      </c>
      <c r="C6" s="28">
        <f>+C3+C5</f>
        <v>10250</v>
      </c>
      <c r="D6" s="28">
        <f t="shared" ref="D6:N6" si="2">+D3+D5</f>
        <v>10250</v>
      </c>
      <c r="E6" s="28">
        <f t="shared" si="2"/>
        <v>10250</v>
      </c>
      <c r="F6" s="28">
        <f t="shared" si="2"/>
        <v>10250</v>
      </c>
      <c r="G6" s="28">
        <f t="shared" si="2"/>
        <v>10250</v>
      </c>
      <c r="H6" s="28">
        <f t="shared" si="2"/>
        <v>8500</v>
      </c>
      <c r="I6" s="28">
        <f t="shared" si="2"/>
        <v>8500</v>
      </c>
      <c r="J6" s="28">
        <f t="shared" si="2"/>
        <v>0</v>
      </c>
      <c r="K6" s="28">
        <f t="shared" si="2"/>
        <v>6000</v>
      </c>
      <c r="L6" s="28">
        <f t="shared" si="2"/>
        <v>6000</v>
      </c>
      <c r="M6" s="28">
        <f t="shared" si="2"/>
        <v>7000</v>
      </c>
      <c r="N6" s="28">
        <f t="shared" si="2"/>
        <v>7000</v>
      </c>
      <c r="O6" s="49">
        <f>+SUM(C6:N6)</f>
        <v>94250</v>
      </c>
      <c r="Q6" s="28">
        <f t="shared" ref="Q6:T6" si="3">+Q3+Q5</f>
        <v>25000</v>
      </c>
      <c r="R6" s="28">
        <f t="shared" si="3"/>
        <v>26250</v>
      </c>
      <c r="S6" s="28">
        <f t="shared" si="3"/>
        <v>17500</v>
      </c>
      <c r="T6" s="28">
        <f t="shared" si="3"/>
        <v>26250</v>
      </c>
      <c r="U6" s="31">
        <f>+SUM(Q6:T6)</f>
        <v>95000</v>
      </c>
    </row>
    <row r="7" spans="1:21" ht="15" thickBot="1" x14ac:dyDescent="0.35">
      <c r="B7" s="9"/>
    </row>
    <row r="8" spans="1:21" x14ac:dyDescent="0.3">
      <c r="A8" s="86" t="s">
        <v>94</v>
      </c>
      <c r="B8" s="8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5"/>
    </row>
    <row r="9" spans="1:21" x14ac:dyDescent="0.3">
      <c r="A9" s="40" t="s">
        <v>34</v>
      </c>
      <c r="B9" s="88">
        <v>2</v>
      </c>
      <c r="C9" s="88"/>
      <c r="D9" s="88"/>
      <c r="E9" s="89" t="s">
        <v>103</v>
      </c>
      <c r="F9" s="90"/>
      <c r="G9" s="88"/>
      <c r="H9" s="88"/>
      <c r="I9" s="88"/>
      <c r="J9" s="88"/>
      <c r="K9" s="88"/>
      <c r="L9" s="88"/>
      <c r="M9" s="9" t="s">
        <v>35</v>
      </c>
      <c r="N9" s="88">
        <v>1</v>
      </c>
      <c r="O9" s="88"/>
      <c r="U9" s="8"/>
    </row>
    <row r="10" spans="1:21" x14ac:dyDescent="0.3">
      <c r="A10" s="40" t="s">
        <v>54</v>
      </c>
      <c r="B10" s="53"/>
      <c r="M10" s="9" t="s">
        <v>54</v>
      </c>
      <c r="N10" s="53"/>
      <c r="O10" s="33"/>
      <c r="U10" s="8"/>
    </row>
    <row r="11" spans="1:21" ht="15" thickBot="1" x14ac:dyDescent="0.35">
      <c r="A11" s="40"/>
      <c r="U11" s="8"/>
    </row>
    <row r="12" spans="1:21" x14ac:dyDescent="0.3">
      <c r="A12" s="37" t="s">
        <v>36</v>
      </c>
      <c r="B12" s="38"/>
      <c r="C12" s="38">
        <f>+B15</f>
        <v>0</v>
      </c>
      <c r="D12" s="38">
        <f t="shared" ref="D12" si="4">+C15</f>
        <v>-4625</v>
      </c>
      <c r="E12" s="38">
        <f t="shared" ref="E12" si="5">+D15</f>
        <v>-9250</v>
      </c>
      <c r="F12" s="38">
        <f t="shared" ref="F12" si="6">+E15</f>
        <v>-13875</v>
      </c>
      <c r="G12" s="38">
        <f t="shared" ref="G12" si="7">+F15</f>
        <v>-18500</v>
      </c>
      <c r="H12" s="38">
        <f t="shared" ref="H12" si="8">+G15</f>
        <v>-23125</v>
      </c>
      <c r="I12" s="38">
        <f t="shared" ref="I12" si="9">+H15</f>
        <v>-27250</v>
      </c>
      <c r="J12" s="38">
        <f t="shared" ref="J12" si="10">+I15</f>
        <v>-31375</v>
      </c>
      <c r="K12" s="38">
        <f t="shared" ref="K12" si="11">+J15</f>
        <v>-31375</v>
      </c>
      <c r="L12" s="38">
        <f t="shared" ref="L12" si="12">+K15</f>
        <v>-34875</v>
      </c>
      <c r="M12" s="38">
        <f t="shared" ref="M12" si="13">+L15</f>
        <v>-38375</v>
      </c>
      <c r="N12" s="38">
        <f t="shared" ref="N12" si="14">+M15</f>
        <v>-42250</v>
      </c>
      <c r="O12" s="39"/>
      <c r="P12" s="41"/>
      <c r="U12" s="8"/>
    </row>
    <row r="13" spans="1:21" x14ac:dyDescent="0.3">
      <c r="A13" s="40" t="s">
        <v>39</v>
      </c>
      <c r="B13" s="41"/>
      <c r="C13" s="41">
        <f>-C3</f>
        <v>-4625</v>
      </c>
      <c r="D13" s="41">
        <f t="shared" ref="D13:N13" si="15">-D3</f>
        <v>-4625</v>
      </c>
      <c r="E13" s="41">
        <f t="shared" si="15"/>
        <v>-4625</v>
      </c>
      <c r="F13" s="41">
        <f t="shared" si="15"/>
        <v>-4625</v>
      </c>
      <c r="G13" s="41">
        <f t="shared" si="15"/>
        <v>-4625</v>
      </c>
      <c r="H13" s="41">
        <f t="shared" si="15"/>
        <v>-4125</v>
      </c>
      <c r="I13" s="41">
        <f t="shared" si="15"/>
        <v>-4125</v>
      </c>
      <c r="J13" s="41">
        <f t="shared" si="15"/>
        <v>0</v>
      </c>
      <c r="K13" s="41">
        <f t="shared" si="15"/>
        <v>-3500</v>
      </c>
      <c r="L13" s="41">
        <f t="shared" si="15"/>
        <v>-3500</v>
      </c>
      <c r="M13" s="41">
        <f t="shared" si="15"/>
        <v>-3875</v>
      </c>
      <c r="N13" s="41">
        <f t="shared" si="15"/>
        <v>-3875</v>
      </c>
      <c r="O13" s="42">
        <f>+SUM(C13:N13)</f>
        <v>-46125</v>
      </c>
      <c r="P13" s="41"/>
      <c r="U13" s="8"/>
    </row>
    <row r="14" spans="1:21" x14ac:dyDescent="0.3">
      <c r="A14" s="43" t="s">
        <v>37</v>
      </c>
      <c r="B14" s="4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42">
        <f>+SUM(C14:N14)</f>
        <v>0</v>
      </c>
      <c r="P14" s="41"/>
      <c r="U14" s="8"/>
    </row>
    <row r="15" spans="1:21" x14ac:dyDescent="0.3">
      <c r="A15" s="40" t="s">
        <v>38</v>
      </c>
      <c r="B15" s="41">
        <f>+B10</f>
        <v>0</v>
      </c>
      <c r="C15" s="41">
        <f t="shared" ref="C15:N15" si="16">+SUM(C12:C14)</f>
        <v>-4625</v>
      </c>
      <c r="D15" s="41">
        <f t="shared" si="16"/>
        <v>-9250</v>
      </c>
      <c r="E15" s="41">
        <f t="shared" si="16"/>
        <v>-13875</v>
      </c>
      <c r="F15" s="41">
        <f t="shared" si="16"/>
        <v>-18500</v>
      </c>
      <c r="G15" s="41">
        <f t="shared" si="16"/>
        <v>-23125</v>
      </c>
      <c r="H15" s="41">
        <f t="shared" si="16"/>
        <v>-27250</v>
      </c>
      <c r="I15" s="41">
        <f t="shared" si="16"/>
        <v>-31375</v>
      </c>
      <c r="J15" s="41">
        <f t="shared" si="16"/>
        <v>-31375</v>
      </c>
      <c r="K15" s="41">
        <f t="shared" si="16"/>
        <v>-34875</v>
      </c>
      <c r="L15" s="41">
        <f t="shared" si="16"/>
        <v>-38375</v>
      </c>
      <c r="M15" s="41">
        <f t="shared" si="16"/>
        <v>-42250</v>
      </c>
      <c r="N15" s="41">
        <f t="shared" si="16"/>
        <v>-46125</v>
      </c>
      <c r="O15" s="42"/>
      <c r="P15" s="41"/>
      <c r="U15" s="8"/>
    </row>
    <row r="16" spans="1:21" ht="4.8" customHeight="1" x14ac:dyDescent="0.3">
      <c r="A16" s="40"/>
      <c r="U16" s="8"/>
    </row>
    <row r="17" spans="1:21" x14ac:dyDescent="0.3">
      <c r="A17" s="40" t="s">
        <v>104</v>
      </c>
      <c r="B17" s="16">
        <v>10</v>
      </c>
      <c r="U17" s="8"/>
    </row>
    <row r="18" spans="1:21" x14ac:dyDescent="0.3">
      <c r="A18" s="40" t="s">
        <v>105</v>
      </c>
      <c r="B18" s="16">
        <v>9</v>
      </c>
      <c r="U18" s="8"/>
    </row>
    <row r="19" spans="1:21" x14ac:dyDescent="0.3">
      <c r="A19" s="40" t="s">
        <v>106</v>
      </c>
      <c r="B19" s="16">
        <v>8.5</v>
      </c>
      <c r="U19" s="8"/>
    </row>
    <row r="20" spans="1:21" x14ac:dyDescent="0.3">
      <c r="A20" s="40" t="s">
        <v>107</v>
      </c>
      <c r="B20" s="16">
        <v>8</v>
      </c>
      <c r="U20" s="8"/>
    </row>
    <row r="21" spans="1:21" x14ac:dyDescent="0.3">
      <c r="A21" s="40" t="s">
        <v>119</v>
      </c>
      <c r="B21" s="33">
        <v>120</v>
      </c>
      <c r="U21" s="8"/>
    </row>
    <row r="22" spans="1:21" ht="4.8" customHeight="1" x14ac:dyDescent="0.3">
      <c r="A22" s="40"/>
      <c r="U22" s="8"/>
    </row>
    <row r="23" spans="1:21" x14ac:dyDescent="0.3">
      <c r="A23" s="40" t="s">
        <v>109</v>
      </c>
      <c r="C23" t="str">
        <f>+IF(C14&gt;10000,8,IF(C14&gt;3000,8.5,IF(C14&gt;1500,9,IF(C14&gt;0,10,""))))</f>
        <v/>
      </c>
      <c r="D23" t="str">
        <f t="shared" ref="D23:N23" si="17">+IF(D14&gt;10000,8,IF(D14&gt;3000,8.5,IF(D14&gt;1500,9,IF(D14&gt;0,10,""))))</f>
        <v/>
      </c>
      <c r="E23" t="str">
        <f t="shared" si="17"/>
        <v/>
      </c>
      <c r="F23" t="str">
        <f t="shared" si="17"/>
        <v/>
      </c>
      <c r="G23" t="str">
        <f t="shared" si="17"/>
        <v/>
      </c>
      <c r="H23" t="str">
        <f t="shared" si="17"/>
        <v/>
      </c>
      <c r="I23" t="str">
        <f t="shared" si="17"/>
        <v/>
      </c>
      <c r="J23" t="str">
        <f t="shared" si="17"/>
        <v/>
      </c>
      <c r="K23" t="str">
        <f t="shared" si="17"/>
        <v/>
      </c>
      <c r="L23" t="str">
        <f t="shared" si="17"/>
        <v/>
      </c>
      <c r="M23" t="str">
        <f t="shared" si="17"/>
        <v/>
      </c>
      <c r="N23" t="str">
        <f t="shared" si="17"/>
        <v/>
      </c>
      <c r="U23" s="8"/>
    </row>
    <row r="24" spans="1:21" x14ac:dyDescent="0.3">
      <c r="A24" s="40" t="s">
        <v>108</v>
      </c>
      <c r="C24" s="98">
        <f>+IF(C14&gt;0,C14*C23,0)</f>
        <v>0</v>
      </c>
      <c r="D24" s="98">
        <f t="shared" ref="D24:N24" si="18">+IF(D14&gt;0,D14*D23,0)</f>
        <v>0</v>
      </c>
      <c r="E24" s="98">
        <f t="shared" si="18"/>
        <v>0</v>
      </c>
      <c r="F24" s="98">
        <f t="shared" si="18"/>
        <v>0</v>
      </c>
      <c r="G24" s="98">
        <f t="shared" si="18"/>
        <v>0</v>
      </c>
      <c r="H24" s="98">
        <f t="shared" si="18"/>
        <v>0</v>
      </c>
      <c r="I24" s="98">
        <f t="shared" si="18"/>
        <v>0</v>
      </c>
      <c r="J24" s="98">
        <f t="shared" si="18"/>
        <v>0</v>
      </c>
      <c r="K24" s="98">
        <f t="shared" si="18"/>
        <v>0</v>
      </c>
      <c r="L24" s="98">
        <f t="shared" si="18"/>
        <v>0</v>
      </c>
      <c r="M24" s="98">
        <f t="shared" si="18"/>
        <v>0</v>
      </c>
      <c r="N24" s="98">
        <f t="shared" si="18"/>
        <v>0</v>
      </c>
      <c r="O24" s="42">
        <f t="shared" ref="O24:O25" si="19">+SUM(C24:N24)</f>
        <v>0</v>
      </c>
      <c r="U24" s="8"/>
    </row>
    <row r="25" spans="1:21" x14ac:dyDescent="0.3">
      <c r="A25" s="40" t="s">
        <v>116</v>
      </c>
      <c r="B25" t="s">
        <v>115</v>
      </c>
      <c r="C25" s="98">
        <f>+IF(C24&gt;0,3000,0)</f>
        <v>0</v>
      </c>
      <c r="D25" s="98">
        <f t="shared" ref="D25:N25" si="20">+IF(D24&gt;0,3000,0)</f>
        <v>0</v>
      </c>
      <c r="E25" s="98">
        <f t="shared" si="20"/>
        <v>0</v>
      </c>
      <c r="F25" s="98">
        <f t="shared" si="20"/>
        <v>0</v>
      </c>
      <c r="G25" s="98">
        <f t="shared" si="20"/>
        <v>0</v>
      </c>
      <c r="H25" s="98">
        <f t="shared" si="20"/>
        <v>0</v>
      </c>
      <c r="I25" s="98">
        <f t="shared" si="20"/>
        <v>0</v>
      </c>
      <c r="J25" s="98">
        <f t="shared" si="20"/>
        <v>0</v>
      </c>
      <c r="K25" s="98">
        <f t="shared" si="20"/>
        <v>0</v>
      </c>
      <c r="L25" s="98">
        <f t="shared" si="20"/>
        <v>0</v>
      </c>
      <c r="M25" s="98">
        <f t="shared" si="20"/>
        <v>0</v>
      </c>
      <c r="N25" s="98">
        <f t="shared" si="20"/>
        <v>0</v>
      </c>
      <c r="O25" s="42">
        <f t="shared" si="19"/>
        <v>0</v>
      </c>
      <c r="U25" s="8"/>
    </row>
    <row r="26" spans="1:21" ht="15" thickBot="1" x14ac:dyDescent="0.3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9" t="s">
        <v>110</v>
      </c>
      <c r="O26" s="100" t="e">
        <f>+(O24+O25)/O14</f>
        <v>#DIV/0!</v>
      </c>
      <c r="P26" s="92"/>
      <c r="Q26" s="92"/>
      <c r="R26" s="92"/>
      <c r="S26" s="92"/>
      <c r="T26" s="92"/>
      <c r="U26" s="46"/>
    </row>
    <row r="27" spans="1:21" x14ac:dyDescent="0.3">
      <c r="A27" s="9"/>
    </row>
    <row r="28" spans="1:21" ht="15" thickBot="1" x14ac:dyDescent="0.35">
      <c r="A28" s="9"/>
    </row>
    <row r="29" spans="1:21" x14ac:dyDescent="0.3">
      <c r="A29" s="86" t="s">
        <v>95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5"/>
    </row>
    <row r="30" spans="1:21" x14ac:dyDescent="0.3">
      <c r="A30" s="40" t="s">
        <v>34</v>
      </c>
      <c r="B30" s="88">
        <v>4</v>
      </c>
      <c r="C30" s="88"/>
      <c r="D30" s="88"/>
      <c r="E30" s="89" t="s">
        <v>103</v>
      </c>
      <c r="F30" s="90"/>
      <c r="G30" s="88"/>
      <c r="H30" s="88"/>
      <c r="I30" s="88"/>
      <c r="J30" s="88"/>
      <c r="K30" s="88"/>
      <c r="L30" s="88"/>
      <c r="M30" s="9" t="s">
        <v>35</v>
      </c>
      <c r="N30" s="88">
        <v>2</v>
      </c>
      <c r="O30" s="88"/>
      <c r="U30" s="8"/>
    </row>
    <row r="31" spans="1:21" x14ac:dyDescent="0.3">
      <c r="A31" s="40" t="s">
        <v>54</v>
      </c>
      <c r="B31" s="53"/>
      <c r="M31" s="9" t="s">
        <v>54</v>
      </c>
      <c r="N31" s="53"/>
      <c r="O31" s="33"/>
      <c r="P31" s="41"/>
      <c r="U31" s="8"/>
    </row>
    <row r="32" spans="1:21" ht="7.8" customHeight="1" thickBot="1" x14ac:dyDescent="0.35">
      <c r="A32" s="40"/>
      <c r="P32" s="41"/>
      <c r="U32" s="8"/>
    </row>
    <row r="33" spans="1:46" x14ac:dyDescent="0.3">
      <c r="A33" s="37" t="s">
        <v>36</v>
      </c>
      <c r="B33" s="38"/>
      <c r="C33" s="38">
        <f>+B36</f>
        <v>0</v>
      </c>
      <c r="D33" s="38">
        <f t="shared" ref="D33" si="21">+C36</f>
        <v>-2500</v>
      </c>
      <c r="E33" s="38">
        <f t="shared" ref="E33" si="22">+D36</f>
        <v>-5000</v>
      </c>
      <c r="F33" s="38">
        <f t="shared" ref="F33" si="23">+E36</f>
        <v>-7500</v>
      </c>
      <c r="G33" s="38">
        <f t="shared" ref="G33" si="24">+F36</f>
        <v>-10000</v>
      </c>
      <c r="H33" s="38">
        <f t="shared" ref="H33" si="25">+G36</f>
        <v>-12500</v>
      </c>
      <c r="I33" s="38">
        <f>+H36</f>
        <v>-15500</v>
      </c>
      <c r="J33" s="38">
        <f t="shared" ref="J33" si="26">+I36</f>
        <v>-18500</v>
      </c>
      <c r="K33" s="38">
        <f t="shared" ref="K33" si="27">+J36</f>
        <v>-18500</v>
      </c>
      <c r="L33" s="38">
        <f t="shared" ref="L33" si="28">+K36</f>
        <v>-22500</v>
      </c>
      <c r="M33" s="38">
        <f t="shared" ref="M33" si="29">+L36</f>
        <v>-26500</v>
      </c>
      <c r="N33" s="38">
        <f t="shared" ref="N33" si="30">+M36</f>
        <v>-30500</v>
      </c>
      <c r="O33" s="39"/>
      <c r="P33" s="41"/>
      <c r="U33" s="8"/>
    </row>
    <row r="34" spans="1:46" x14ac:dyDescent="0.3">
      <c r="A34" s="40" t="s">
        <v>39</v>
      </c>
      <c r="B34" s="41"/>
      <c r="C34" s="41">
        <f>-C4</f>
        <v>-2500</v>
      </c>
      <c r="D34" s="41">
        <f t="shared" ref="D34:N34" si="31">-D4</f>
        <v>-2500</v>
      </c>
      <c r="E34" s="41">
        <f t="shared" si="31"/>
        <v>-2500</v>
      </c>
      <c r="F34" s="41">
        <f t="shared" si="31"/>
        <v>-2500</v>
      </c>
      <c r="G34" s="41">
        <f t="shared" si="31"/>
        <v>-2500</v>
      </c>
      <c r="H34" s="41">
        <f t="shared" si="31"/>
        <v>-3000</v>
      </c>
      <c r="I34" s="41">
        <f t="shared" si="31"/>
        <v>-3000</v>
      </c>
      <c r="J34" s="41">
        <f t="shared" si="31"/>
        <v>0</v>
      </c>
      <c r="K34" s="41">
        <f t="shared" si="31"/>
        <v>-4000</v>
      </c>
      <c r="L34" s="41">
        <f t="shared" si="31"/>
        <v>-4000</v>
      </c>
      <c r="M34" s="41">
        <f t="shared" si="31"/>
        <v>-4000</v>
      </c>
      <c r="N34" s="41">
        <f t="shared" si="31"/>
        <v>-4000</v>
      </c>
      <c r="O34" s="42">
        <f>+SUM(C34:N34)</f>
        <v>-34500</v>
      </c>
      <c r="P34" s="41"/>
      <c r="U34" s="8"/>
    </row>
    <row r="35" spans="1:46" x14ac:dyDescent="0.3">
      <c r="A35" s="43" t="s">
        <v>37</v>
      </c>
      <c r="B35" s="44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42">
        <f>+SUM(C35:N35)</f>
        <v>0</v>
      </c>
      <c r="P35" s="41"/>
      <c r="U35" s="8"/>
    </row>
    <row r="36" spans="1:46" x14ac:dyDescent="0.3">
      <c r="A36" s="40" t="s">
        <v>38</v>
      </c>
      <c r="B36" s="41">
        <f>+B31</f>
        <v>0</v>
      </c>
      <c r="C36" s="41">
        <f t="shared" ref="C36:N36" si="32">+SUM(C33:C35)</f>
        <v>-2500</v>
      </c>
      <c r="D36" s="41">
        <f t="shared" si="32"/>
        <v>-5000</v>
      </c>
      <c r="E36" s="41">
        <f t="shared" si="32"/>
        <v>-7500</v>
      </c>
      <c r="F36" s="41">
        <f t="shared" si="32"/>
        <v>-10000</v>
      </c>
      <c r="G36" s="41">
        <f t="shared" si="32"/>
        <v>-12500</v>
      </c>
      <c r="H36" s="41">
        <f t="shared" si="32"/>
        <v>-15500</v>
      </c>
      <c r="I36" s="41">
        <f t="shared" si="32"/>
        <v>-18500</v>
      </c>
      <c r="J36" s="41">
        <f t="shared" si="32"/>
        <v>-18500</v>
      </c>
      <c r="K36" s="41">
        <f t="shared" si="32"/>
        <v>-22500</v>
      </c>
      <c r="L36" s="41">
        <f t="shared" si="32"/>
        <v>-26500</v>
      </c>
      <c r="M36" s="41">
        <f t="shared" si="32"/>
        <v>-30500</v>
      </c>
      <c r="N36" s="41">
        <f t="shared" si="32"/>
        <v>-34500</v>
      </c>
      <c r="O36" s="42"/>
      <c r="P36" s="41"/>
      <c r="U36" s="8"/>
    </row>
    <row r="37" spans="1:46" ht="6.6" customHeight="1" x14ac:dyDescent="0.3">
      <c r="A37" s="40"/>
      <c r="O37" s="8"/>
      <c r="P37" s="41"/>
      <c r="U37" s="8"/>
    </row>
    <row r="38" spans="1:46" x14ac:dyDescent="0.3">
      <c r="A38" s="40" t="s">
        <v>112</v>
      </c>
      <c r="B38">
        <v>10</v>
      </c>
      <c r="O38" s="8"/>
      <c r="P38" s="50"/>
      <c r="U38" s="8"/>
    </row>
    <row r="39" spans="1:46" s="52" customFormat="1" x14ac:dyDescent="0.3">
      <c r="A39" s="40" t="s">
        <v>121</v>
      </c>
      <c r="B39">
        <v>9</v>
      </c>
      <c r="C39"/>
      <c r="D39"/>
      <c r="E39"/>
      <c r="F39"/>
      <c r="G39"/>
      <c r="H39"/>
      <c r="I39"/>
      <c r="J39"/>
      <c r="K39"/>
      <c r="L39"/>
      <c r="M39"/>
      <c r="N39"/>
      <c r="O39" s="8"/>
      <c r="P39" s="50"/>
      <c r="U39" s="9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x14ac:dyDescent="0.3">
      <c r="A40" s="40" t="s">
        <v>120</v>
      </c>
      <c r="B40">
        <v>8</v>
      </c>
      <c r="O40" s="8"/>
      <c r="P40" s="41"/>
      <c r="U40" s="8"/>
    </row>
    <row r="41" spans="1:46" x14ac:dyDescent="0.3">
      <c r="A41" s="40" t="s">
        <v>107</v>
      </c>
      <c r="B41">
        <v>7</v>
      </c>
      <c r="O41" s="8"/>
      <c r="P41" s="41"/>
      <c r="U41" s="8"/>
    </row>
    <row r="42" spans="1:46" x14ac:dyDescent="0.3">
      <c r="A42" s="40" t="s">
        <v>119</v>
      </c>
      <c r="B42">
        <v>45</v>
      </c>
      <c r="O42" s="8"/>
      <c r="P42" s="41"/>
      <c r="U42" s="8"/>
    </row>
    <row r="43" spans="1:46" ht="6.6" customHeight="1" x14ac:dyDescent="0.3">
      <c r="A43" s="40"/>
      <c r="O43" s="8"/>
      <c r="P43" s="41"/>
      <c r="U43" s="8"/>
    </row>
    <row r="44" spans="1:46" x14ac:dyDescent="0.3">
      <c r="A44" s="40" t="s">
        <v>109</v>
      </c>
      <c r="C44" t="str">
        <f t="shared" ref="C44:E44" si="33">+IF(C35&gt;10000,7,IF(C35&gt;4000,8,IF(C35&gt;2000,9,IF(C35&gt;0,10,""))))</f>
        <v/>
      </c>
      <c r="D44" t="str">
        <f t="shared" si="33"/>
        <v/>
      </c>
      <c r="E44" t="str">
        <f t="shared" si="33"/>
        <v/>
      </c>
      <c r="F44" t="str">
        <f>+IF(F35&gt;10000,7,IF(F35&gt;4000,8,IF(F35&gt;2000,9,IF(F35&gt;0,10,""))))</f>
        <v/>
      </c>
      <c r="G44" t="str">
        <f t="shared" ref="G44:N44" si="34">+IF(G35&gt;10000,7,IF(G35&gt;4000,8,IF(G35&gt;2000,9,IF(G35&gt;0,10,""))))</f>
        <v/>
      </c>
      <c r="H44" t="str">
        <f t="shared" si="34"/>
        <v/>
      </c>
      <c r="I44" t="str">
        <f t="shared" si="34"/>
        <v/>
      </c>
      <c r="J44" t="str">
        <f t="shared" si="34"/>
        <v/>
      </c>
      <c r="K44" t="str">
        <f t="shared" si="34"/>
        <v/>
      </c>
      <c r="L44" t="str">
        <f t="shared" si="34"/>
        <v/>
      </c>
      <c r="M44" t="str">
        <f t="shared" si="34"/>
        <v/>
      </c>
      <c r="N44" t="str">
        <f t="shared" si="34"/>
        <v/>
      </c>
      <c r="O44" s="8"/>
      <c r="P44" s="41"/>
      <c r="U44" s="8"/>
    </row>
    <row r="45" spans="1:46" x14ac:dyDescent="0.3">
      <c r="A45" s="40" t="s">
        <v>108</v>
      </c>
      <c r="C45" s="98">
        <f>+IF(C35&gt;0,C35*C44,0)</f>
        <v>0</v>
      </c>
      <c r="D45" s="98">
        <f t="shared" ref="D45" si="35">+IF(D35&gt;0,D35*D44,0)</f>
        <v>0</v>
      </c>
      <c r="E45" s="98">
        <f t="shared" ref="E45" si="36">+IF(E35&gt;0,E35*E44,0)</f>
        <v>0</v>
      </c>
      <c r="F45" s="98">
        <f t="shared" ref="F45" si="37">+IF(F35&gt;0,F35*F44,0)</f>
        <v>0</v>
      </c>
      <c r="G45" s="98">
        <f t="shared" ref="G45" si="38">+IF(G35&gt;0,G35*G44,0)</f>
        <v>0</v>
      </c>
      <c r="H45" s="98">
        <f t="shared" ref="H45" si="39">+IF(H35&gt;0,H35*H44,0)</f>
        <v>0</v>
      </c>
      <c r="I45" s="98">
        <f t="shared" ref="I45" si="40">+IF(I35&gt;0,I35*I44,0)</f>
        <v>0</v>
      </c>
      <c r="J45" s="98">
        <f t="shared" ref="J45" si="41">+IF(J35&gt;0,J35*J44,0)</f>
        <v>0</v>
      </c>
      <c r="K45" s="98">
        <f t="shared" ref="K45" si="42">+IF(K35&gt;0,K35*K44,0)</f>
        <v>0</v>
      </c>
      <c r="L45" s="98">
        <f t="shared" ref="L45" si="43">+IF(L35&gt;0,L35*L44,0)</f>
        <v>0</v>
      </c>
      <c r="M45" s="98">
        <f t="shared" ref="M45" si="44">+IF(M35&gt;0,M35*M44,0)</f>
        <v>0</v>
      </c>
      <c r="N45" s="98">
        <f t="shared" ref="N45" si="45">+IF(N35&gt;0,N35*N44,0)</f>
        <v>0</v>
      </c>
      <c r="O45" s="42">
        <f t="shared" ref="O45:O46" si="46">+SUM(C45:N45)</f>
        <v>0</v>
      </c>
      <c r="U45" s="8"/>
    </row>
    <row r="46" spans="1:46" x14ac:dyDescent="0.3">
      <c r="A46" s="40" t="s">
        <v>117</v>
      </c>
      <c r="B46" t="s">
        <v>111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41">
        <f t="shared" si="46"/>
        <v>0</v>
      </c>
      <c r="P46" s="50"/>
      <c r="U46" s="8"/>
    </row>
    <row r="47" spans="1:46" ht="15" thickBot="1" x14ac:dyDescent="0.35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9" t="s">
        <v>110</v>
      </c>
      <c r="O47" s="100" t="e">
        <f>+(O45+O46)/O35</f>
        <v>#DIV/0!</v>
      </c>
      <c r="P47" s="95"/>
      <c r="Q47" s="92"/>
      <c r="R47" s="92"/>
      <c r="S47" s="92"/>
      <c r="T47" s="92"/>
      <c r="U47" s="46"/>
    </row>
    <row r="48" spans="1:46" ht="15" thickBot="1" x14ac:dyDescent="0.35">
      <c r="A48" s="9"/>
    </row>
    <row r="49" spans="1:31" x14ac:dyDescent="0.3">
      <c r="A49" s="86" t="s">
        <v>113</v>
      </c>
      <c r="B49" s="8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7"/>
      <c r="S49" s="5"/>
      <c r="T49" s="5"/>
      <c r="U49" s="45"/>
    </row>
    <row r="50" spans="1:31" x14ac:dyDescent="0.3">
      <c r="A50" s="40" t="s">
        <v>34</v>
      </c>
      <c r="B50" s="88">
        <v>0.5</v>
      </c>
      <c r="C50" s="88"/>
      <c r="D50" s="88"/>
      <c r="E50" s="89" t="s">
        <v>103</v>
      </c>
      <c r="F50" s="90"/>
      <c r="G50" s="88"/>
      <c r="H50" s="88"/>
      <c r="I50" s="88"/>
      <c r="J50" s="88"/>
      <c r="K50" s="88"/>
      <c r="L50" s="88"/>
      <c r="M50" s="9" t="s">
        <v>35</v>
      </c>
      <c r="N50" s="88">
        <v>1</v>
      </c>
      <c r="O50" s="88"/>
      <c r="Q50" s="9"/>
      <c r="R50" s="84"/>
      <c r="S50" s="84"/>
      <c r="T50" s="84"/>
      <c r="U50" s="96"/>
      <c r="V50" s="85"/>
      <c r="W50" s="84"/>
      <c r="X50" s="84"/>
      <c r="Y50" s="84"/>
      <c r="Z50" s="84"/>
      <c r="AA50" s="84"/>
      <c r="AB50" s="84"/>
      <c r="AC50" s="9"/>
      <c r="AD50" s="84"/>
      <c r="AE50" s="84"/>
    </row>
    <row r="51" spans="1:31" x14ac:dyDescent="0.3">
      <c r="A51" s="40" t="s">
        <v>54</v>
      </c>
      <c r="B51" s="53"/>
      <c r="M51" s="9" t="s">
        <v>54</v>
      </c>
      <c r="N51" s="53"/>
      <c r="O51" s="33"/>
      <c r="Q51" s="9"/>
      <c r="R51" s="18"/>
      <c r="U51" s="8"/>
      <c r="AC51" s="9"/>
      <c r="AD51" s="18"/>
      <c r="AE51" s="33"/>
    </row>
    <row r="52" spans="1:31" ht="15" thickBot="1" x14ac:dyDescent="0.35">
      <c r="A52" s="40"/>
      <c r="Q52" s="9"/>
      <c r="U52" s="8"/>
    </row>
    <row r="53" spans="1:31" x14ac:dyDescent="0.3">
      <c r="A53" s="37" t="s">
        <v>36</v>
      </c>
      <c r="B53" s="38"/>
      <c r="C53" s="38">
        <f>+B56</f>
        <v>0</v>
      </c>
      <c r="D53" s="38">
        <f t="shared" ref="D53" si="47">+C56</f>
        <v>-5625</v>
      </c>
      <c r="E53" s="38">
        <f t="shared" ref="E53" si="48">+D56</f>
        <v>-11250</v>
      </c>
      <c r="F53" s="38">
        <f t="shared" ref="F53" si="49">+E56</f>
        <v>-16875</v>
      </c>
      <c r="G53" s="38">
        <f t="shared" ref="G53" si="50">+F56</f>
        <v>-22500</v>
      </c>
      <c r="H53" s="38">
        <f t="shared" ref="H53" si="51">+G56</f>
        <v>-28125</v>
      </c>
      <c r="I53" s="38">
        <f t="shared" ref="I53" si="52">+H56</f>
        <v>-32500</v>
      </c>
      <c r="J53" s="38">
        <f t="shared" ref="J53" si="53">+I56</f>
        <v>-36875</v>
      </c>
      <c r="K53" s="38">
        <f t="shared" ref="K53" si="54">+J56</f>
        <v>-36875</v>
      </c>
      <c r="L53" s="38">
        <f t="shared" ref="L53" si="55">+K56</f>
        <v>-39375</v>
      </c>
      <c r="M53" s="38">
        <f t="shared" ref="M53" si="56">+L56</f>
        <v>-41875</v>
      </c>
      <c r="N53" s="38">
        <f t="shared" ref="N53" si="57">+M56</f>
        <v>-45000</v>
      </c>
      <c r="O53" s="39"/>
      <c r="Q53" s="9"/>
      <c r="R53" s="64"/>
      <c r="S53" s="64"/>
      <c r="T53" s="64"/>
      <c r="U53" s="97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1:31" x14ac:dyDescent="0.3">
      <c r="A54" s="40" t="s">
        <v>39</v>
      </c>
      <c r="B54" s="41"/>
      <c r="C54" s="41">
        <f>-C5</f>
        <v>-5625</v>
      </c>
      <c r="D54" s="41">
        <f t="shared" ref="D54:N54" si="58">-D5</f>
        <v>-5625</v>
      </c>
      <c r="E54" s="41">
        <f t="shared" si="58"/>
        <v>-5625</v>
      </c>
      <c r="F54" s="41">
        <f t="shared" si="58"/>
        <v>-5625</v>
      </c>
      <c r="G54" s="41">
        <f t="shared" si="58"/>
        <v>-5625</v>
      </c>
      <c r="H54" s="41">
        <f t="shared" si="58"/>
        <v>-4375</v>
      </c>
      <c r="I54" s="41">
        <f t="shared" si="58"/>
        <v>-4375</v>
      </c>
      <c r="J54" s="41">
        <f t="shared" si="58"/>
        <v>0</v>
      </c>
      <c r="K54" s="41">
        <f t="shared" si="58"/>
        <v>-2500</v>
      </c>
      <c r="L54" s="41">
        <f t="shared" si="58"/>
        <v>-2500</v>
      </c>
      <c r="M54" s="41">
        <f t="shared" si="58"/>
        <v>-3125</v>
      </c>
      <c r="N54" s="41">
        <f t="shared" si="58"/>
        <v>-3125</v>
      </c>
      <c r="O54" s="42">
        <f>+SUM(C54:N54)</f>
        <v>-48125</v>
      </c>
      <c r="Q54" s="9"/>
      <c r="R54" s="64"/>
      <c r="S54" s="64"/>
      <c r="T54" s="64"/>
      <c r="U54" s="97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x14ac:dyDescent="0.3">
      <c r="A55" s="43" t="s">
        <v>37</v>
      </c>
      <c r="B55" s="44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42">
        <f>+SUM(C55:N55)</f>
        <v>0</v>
      </c>
      <c r="Q55" s="9"/>
      <c r="R55" s="64"/>
      <c r="S55" s="64"/>
      <c r="T55" s="64"/>
      <c r="U55" s="97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x14ac:dyDescent="0.3">
      <c r="A56" s="40" t="s">
        <v>38</v>
      </c>
      <c r="B56" s="41">
        <f>+B51</f>
        <v>0</v>
      </c>
      <c r="C56" s="41">
        <f t="shared" ref="C56:N56" si="59">+SUM(C53:C55)</f>
        <v>-5625</v>
      </c>
      <c r="D56" s="41">
        <f t="shared" si="59"/>
        <v>-11250</v>
      </c>
      <c r="E56" s="41">
        <f t="shared" si="59"/>
        <v>-16875</v>
      </c>
      <c r="F56" s="41">
        <f t="shared" si="59"/>
        <v>-22500</v>
      </c>
      <c r="G56" s="41">
        <f t="shared" si="59"/>
        <v>-28125</v>
      </c>
      <c r="H56" s="41">
        <f t="shared" si="59"/>
        <v>-32500</v>
      </c>
      <c r="I56" s="41">
        <f t="shared" si="59"/>
        <v>-36875</v>
      </c>
      <c r="J56" s="41">
        <f t="shared" si="59"/>
        <v>-36875</v>
      </c>
      <c r="K56" s="41">
        <f t="shared" si="59"/>
        <v>-39375</v>
      </c>
      <c r="L56" s="41">
        <f t="shared" si="59"/>
        <v>-41875</v>
      </c>
      <c r="M56" s="41">
        <f t="shared" si="59"/>
        <v>-45000</v>
      </c>
      <c r="N56" s="41">
        <f t="shared" si="59"/>
        <v>-48125</v>
      </c>
      <c r="O56" s="42"/>
      <c r="Q56" s="9"/>
      <c r="R56" s="64"/>
      <c r="S56" s="64"/>
      <c r="T56" s="64"/>
      <c r="U56" s="97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ht="5.4" customHeight="1" x14ac:dyDescent="0.3">
      <c r="A57" s="40"/>
      <c r="Q57" s="9"/>
      <c r="U57" s="8"/>
    </row>
    <row r="58" spans="1:31" x14ac:dyDescent="0.3">
      <c r="A58" s="40" t="s">
        <v>123</v>
      </c>
      <c r="B58">
        <v>15</v>
      </c>
      <c r="Q58" s="9"/>
      <c r="U58" s="8"/>
    </row>
    <row r="59" spans="1:31" x14ac:dyDescent="0.3">
      <c r="A59" s="40" t="s">
        <v>122</v>
      </c>
      <c r="B59">
        <v>10</v>
      </c>
      <c r="Q59" s="9"/>
      <c r="U59" s="8"/>
    </row>
    <row r="60" spans="1:31" x14ac:dyDescent="0.3">
      <c r="A60" s="40" t="s">
        <v>124</v>
      </c>
      <c r="B60">
        <v>6</v>
      </c>
      <c r="Q60" s="9"/>
      <c r="U60" s="8"/>
    </row>
    <row r="61" spans="1:31" x14ac:dyDescent="0.3">
      <c r="A61" s="40" t="s">
        <v>125</v>
      </c>
      <c r="B61">
        <v>4</v>
      </c>
      <c r="Q61" s="9"/>
      <c r="U61" s="8"/>
    </row>
    <row r="62" spans="1:31" x14ac:dyDescent="0.3">
      <c r="A62" s="40" t="s">
        <v>119</v>
      </c>
      <c r="B62">
        <v>90</v>
      </c>
      <c r="Q62" s="9"/>
      <c r="U62" s="8"/>
    </row>
    <row r="63" spans="1:31" ht="5.4" customHeight="1" x14ac:dyDescent="0.3">
      <c r="A63" s="40"/>
      <c r="Q63" s="9"/>
      <c r="U63" s="8"/>
    </row>
    <row r="64" spans="1:31" x14ac:dyDescent="0.3">
      <c r="A64" s="40" t="s">
        <v>109</v>
      </c>
      <c r="C64" t="str">
        <f>+IF(C55&gt;8000,4,IF(C55&gt;5000,6,IF(C55&gt;3000,10,IF(C55&gt;0,15,""))))</f>
        <v/>
      </c>
      <c r="D64" t="str">
        <f t="shared" ref="D64:N64" si="60">+IF(D55&gt;8000,4,IF(D55&gt;5000,6,IF(D55&gt;3000,10,IF(D55&gt;0,15,""))))</f>
        <v/>
      </c>
      <c r="E64" t="str">
        <f t="shared" si="60"/>
        <v/>
      </c>
      <c r="F64" t="str">
        <f t="shared" si="60"/>
        <v/>
      </c>
      <c r="G64" t="str">
        <f t="shared" si="60"/>
        <v/>
      </c>
      <c r="H64" t="str">
        <f t="shared" si="60"/>
        <v/>
      </c>
      <c r="I64" t="str">
        <f t="shared" si="60"/>
        <v/>
      </c>
      <c r="J64" t="str">
        <f t="shared" si="60"/>
        <v/>
      </c>
      <c r="K64" t="str">
        <f t="shared" si="60"/>
        <v/>
      </c>
      <c r="L64" t="str">
        <f t="shared" si="60"/>
        <v/>
      </c>
      <c r="M64" t="str">
        <f t="shared" si="60"/>
        <v/>
      </c>
      <c r="N64" t="str">
        <f t="shared" si="60"/>
        <v/>
      </c>
      <c r="Q64" s="9"/>
      <c r="U64" s="8"/>
    </row>
    <row r="65" spans="1:31" x14ac:dyDescent="0.3">
      <c r="A65" s="40" t="s">
        <v>108</v>
      </c>
      <c r="C65" s="98">
        <f>+IF(C55&gt;0,C55*C64,0)</f>
        <v>0</v>
      </c>
      <c r="D65" s="98">
        <f t="shared" ref="D65" si="61">+IF(D55&gt;0,D55*D64,0)</f>
        <v>0</v>
      </c>
      <c r="E65" s="98">
        <f t="shared" ref="E65" si="62">+IF(E55&gt;0,E55*E64,0)</f>
        <v>0</v>
      </c>
      <c r="F65" s="98">
        <f t="shared" ref="F65" si="63">+IF(F55&gt;0,F55*F64,0)</f>
        <v>0</v>
      </c>
      <c r="G65" s="98">
        <f t="shared" ref="G65" si="64">+IF(G55&gt;0,G55*G64,0)</f>
        <v>0</v>
      </c>
      <c r="H65" s="98">
        <f t="shared" ref="H65" si="65">+IF(H55&gt;0,H55*H64,0)</f>
        <v>0</v>
      </c>
      <c r="I65" s="98">
        <f t="shared" ref="I65" si="66">+IF(I55&gt;0,I55*I64,0)</f>
        <v>0</v>
      </c>
      <c r="J65" s="98">
        <f t="shared" ref="J65" si="67">+IF(J55&gt;0,J55*J64,0)</f>
        <v>0</v>
      </c>
      <c r="K65" s="98">
        <f t="shared" ref="K65" si="68">+IF(K55&gt;0,K55*K64,0)</f>
        <v>0</v>
      </c>
      <c r="L65" s="98">
        <f t="shared" ref="L65" si="69">+IF(L55&gt;0,L55*L64,0)</f>
        <v>0</v>
      </c>
      <c r="M65" s="98">
        <f t="shared" ref="M65" si="70">+IF(M55&gt;0,M55*M64,0)</f>
        <v>0</v>
      </c>
      <c r="N65" s="98">
        <f t="shared" ref="N65" si="71">+IF(N55&gt;0,N55*N64,0)</f>
        <v>0</v>
      </c>
      <c r="O65" s="42">
        <f t="shared" ref="O65:O66" si="72">+SUM(C65:N65)</f>
        <v>0</v>
      </c>
      <c r="Q65" s="9"/>
      <c r="U65" s="8"/>
      <c r="AE65" s="64"/>
    </row>
    <row r="66" spans="1:31" x14ac:dyDescent="0.3">
      <c r="A66" s="40" t="s">
        <v>118</v>
      </c>
      <c r="B66" t="s">
        <v>114</v>
      </c>
      <c r="C66" s="98">
        <f>+IF(C65&gt;0,500,0)</f>
        <v>0</v>
      </c>
      <c r="D66" s="98">
        <f t="shared" ref="D66:N66" si="73">+IF(D65&gt;0,500,0)</f>
        <v>0</v>
      </c>
      <c r="E66" s="98">
        <f t="shared" si="73"/>
        <v>0</v>
      </c>
      <c r="F66" s="98">
        <f t="shared" si="73"/>
        <v>0</v>
      </c>
      <c r="G66" s="98">
        <f t="shared" si="73"/>
        <v>0</v>
      </c>
      <c r="H66" s="98">
        <f t="shared" si="73"/>
        <v>0</v>
      </c>
      <c r="I66" s="98">
        <f t="shared" si="73"/>
        <v>0</v>
      </c>
      <c r="J66" s="98">
        <f t="shared" si="73"/>
        <v>0</v>
      </c>
      <c r="K66" s="98">
        <f t="shared" si="73"/>
        <v>0</v>
      </c>
      <c r="L66" s="98">
        <f t="shared" si="73"/>
        <v>0</v>
      </c>
      <c r="M66" s="98">
        <f t="shared" si="73"/>
        <v>0</v>
      </c>
      <c r="N66" s="98">
        <f t="shared" si="73"/>
        <v>0</v>
      </c>
      <c r="O66" s="42">
        <f t="shared" si="72"/>
        <v>0</v>
      </c>
      <c r="Q66" s="9"/>
      <c r="U66" s="8"/>
      <c r="AE66" s="64"/>
    </row>
    <row r="67" spans="1:31" ht="15" thickBot="1" x14ac:dyDescent="0.35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9" t="s">
        <v>110</v>
      </c>
      <c r="O67" s="100" t="e">
        <f>+(O65+O66)/O55</f>
        <v>#DIV/0!</v>
      </c>
      <c r="P67" s="92"/>
      <c r="Q67" s="93"/>
      <c r="R67" s="92"/>
      <c r="S67" s="92"/>
      <c r="T67" s="92"/>
      <c r="U67" s="46"/>
      <c r="AD67" s="9"/>
      <c r="AE67" s="83"/>
    </row>
  </sheetData>
  <mergeCells count="3">
    <mergeCell ref="C1:O1"/>
    <mergeCell ref="Q1:U1"/>
    <mergeCell ref="A3:A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4F1C-6C54-4082-B49A-08A9AA7B515A}">
  <dimension ref="A1:U24"/>
  <sheetViews>
    <sheetView zoomScale="140" zoomScaleNormal="140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B1" sqref="B1:N1"/>
    </sheetView>
  </sheetViews>
  <sheetFormatPr defaultRowHeight="14.4" x14ac:dyDescent="0.3"/>
  <cols>
    <col min="1" max="1" width="17.10937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3.21875" customWidth="1"/>
    <col min="16" max="16" width="12.6640625" bestFit="1" customWidth="1"/>
    <col min="20" max="20" width="9.21875" bestFit="1" customWidth="1"/>
    <col min="21" max="21" width="6.5546875" customWidth="1"/>
  </cols>
  <sheetData>
    <row r="1" spans="1:21" x14ac:dyDescent="0.3">
      <c r="B1" s="115" t="s">
        <v>16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P1" s="115" t="s">
        <v>17</v>
      </c>
      <c r="Q1" s="116"/>
      <c r="R1" s="116"/>
      <c r="S1" s="116"/>
      <c r="T1" s="117"/>
      <c r="U1" s="118" t="s">
        <v>57</v>
      </c>
    </row>
    <row r="2" spans="1:21" x14ac:dyDescent="0.3">
      <c r="A2" s="18" t="s">
        <v>139</v>
      </c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  <c r="P2" s="19" t="s">
        <v>30</v>
      </c>
      <c r="Q2" s="20" t="s">
        <v>31</v>
      </c>
      <c r="R2" s="23" t="s">
        <v>32</v>
      </c>
      <c r="S2" s="21" t="s">
        <v>33</v>
      </c>
      <c r="T2" s="22" t="s">
        <v>1</v>
      </c>
      <c r="U2" s="118"/>
    </row>
    <row r="3" spans="1:21" x14ac:dyDescent="0.3">
      <c r="A3" s="18" t="s">
        <v>48</v>
      </c>
      <c r="B3" s="18">
        <f>+'budget scorte prodotti fin'!C9</f>
        <v>1250</v>
      </c>
      <c r="C3" s="18">
        <f>+'budget scorte prodotti fin'!D9</f>
        <v>1250</v>
      </c>
      <c r="D3" s="18">
        <f>+'budget scorte prodotti fin'!E9</f>
        <v>1250</v>
      </c>
      <c r="E3" s="18">
        <f>+'budget scorte prodotti fin'!F9</f>
        <v>1250</v>
      </c>
      <c r="F3" s="18">
        <f>+'budget scorte prodotti fin'!G9</f>
        <v>1250</v>
      </c>
      <c r="G3" s="18">
        <f>+'budget scorte prodotti fin'!H9</f>
        <v>1500</v>
      </c>
      <c r="H3" s="18">
        <f>+'budget scorte prodotti fin'!I9</f>
        <v>1500</v>
      </c>
      <c r="I3" s="18">
        <f>+'budget scorte prodotti fin'!J9</f>
        <v>0</v>
      </c>
      <c r="J3" s="18">
        <f>+'budget scorte prodotti fin'!K9</f>
        <v>2000</v>
      </c>
      <c r="K3" s="18">
        <f>+'budget scorte prodotti fin'!L9</f>
        <v>2000</v>
      </c>
      <c r="L3" s="18">
        <f>+'budget scorte prodotti fin'!M9</f>
        <v>2000</v>
      </c>
      <c r="M3" s="18">
        <f>+'budget scorte prodotti fin'!N9</f>
        <v>2000</v>
      </c>
      <c r="N3" s="18">
        <f>+SUM(B3:M3)</f>
        <v>17250</v>
      </c>
      <c r="P3" s="18">
        <f>+'budget scorte prodotti fin'!Q9</f>
        <v>6000</v>
      </c>
      <c r="Q3" s="18">
        <f>+'budget scorte prodotti fin'!R9</f>
        <v>4500</v>
      </c>
      <c r="R3" s="18">
        <f>+'budget scorte prodotti fin'!S9</f>
        <v>3000</v>
      </c>
      <c r="S3" s="18">
        <f>+'budget scorte prodotti fin'!T9</f>
        <v>4500</v>
      </c>
      <c r="T3" s="18">
        <f>+SUM(P3:S3)</f>
        <v>18000</v>
      </c>
      <c r="U3" s="13">
        <f>+T3/N3-1</f>
        <v>4.3478260869565188E-2</v>
      </c>
    </row>
    <row r="4" spans="1:21" x14ac:dyDescent="0.3">
      <c r="A4" s="18" t="s">
        <v>49</v>
      </c>
      <c r="B4" s="18">
        <f>+'budget scorte prodotti fin'!C10</f>
        <v>2250</v>
      </c>
      <c r="C4" s="18">
        <f>+'budget scorte prodotti fin'!D10</f>
        <v>2250</v>
      </c>
      <c r="D4" s="18">
        <f>+'budget scorte prodotti fin'!E10</f>
        <v>2250</v>
      </c>
      <c r="E4" s="18">
        <f>+'budget scorte prodotti fin'!F10</f>
        <v>2250</v>
      </c>
      <c r="F4" s="18">
        <f>+'budget scorte prodotti fin'!G10</f>
        <v>2250</v>
      </c>
      <c r="G4" s="18">
        <f>+'budget scorte prodotti fin'!H10</f>
        <v>1750</v>
      </c>
      <c r="H4" s="18">
        <f>+'budget scorte prodotti fin'!I10</f>
        <v>1750</v>
      </c>
      <c r="I4" s="18">
        <f>+'budget scorte prodotti fin'!J10</f>
        <v>0</v>
      </c>
      <c r="J4" s="18">
        <f>+'budget scorte prodotti fin'!K10</f>
        <v>1000</v>
      </c>
      <c r="K4" s="18">
        <f>+'budget scorte prodotti fin'!L10</f>
        <v>1000</v>
      </c>
      <c r="L4" s="18">
        <f>+'budget scorte prodotti fin'!M10</f>
        <v>1250</v>
      </c>
      <c r="M4" s="18">
        <f>+'budget scorte prodotti fin'!N10</f>
        <v>1250</v>
      </c>
      <c r="N4" s="18">
        <f>+SUM(B4:M4)</f>
        <v>19250</v>
      </c>
      <c r="P4" s="18">
        <f>+'budget scorte prodotti fin'!Q10</f>
        <v>4000</v>
      </c>
      <c r="Q4" s="18">
        <f>+'budget scorte prodotti fin'!R10</f>
        <v>6000</v>
      </c>
      <c r="R4" s="18">
        <f>+'budget scorte prodotti fin'!S10</f>
        <v>4000</v>
      </c>
      <c r="S4" s="18">
        <f>+'budget scorte prodotti fin'!T10</f>
        <v>6000</v>
      </c>
      <c r="T4" s="18">
        <f>+SUM(P4:S4)</f>
        <v>20000</v>
      </c>
      <c r="U4" s="13">
        <f>+T4/N4-1</f>
        <v>3.8961038961038863E-2</v>
      </c>
    </row>
    <row r="5" spans="1:21" x14ac:dyDescent="0.3">
      <c r="A5" s="18" t="s">
        <v>44</v>
      </c>
      <c r="B5" s="18">
        <f>+B3+B4</f>
        <v>3500</v>
      </c>
      <c r="C5" s="18">
        <f t="shared" ref="C5:M5" si="0">+C3+C4</f>
        <v>3500</v>
      </c>
      <c r="D5" s="18">
        <f t="shared" si="0"/>
        <v>3500</v>
      </c>
      <c r="E5" s="18">
        <f t="shared" si="0"/>
        <v>3500</v>
      </c>
      <c r="F5" s="18">
        <f t="shared" si="0"/>
        <v>3500</v>
      </c>
      <c r="G5" s="18">
        <f t="shared" si="0"/>
        <v>3250</v>
      </c>
      <c r="H5" s="18">
        <f t="shared" si="0"/>
        <v>3250</v>
      </c>
      <c r="I5" s="18">
        <f t="shared" si="0"/>
        <v>0</v>
      </c>
      <c r="J5" s="18">
        <f t="shared" si="0"/>
        <v>3000</v>
      </c>
      <c r="K5" s="18">
        <f t="shared" si="0"/>
        <v>3000</v>
      </c>
      <c r="L5" s="18">
        <f t="shared" si="0"/>
        <v>3250</v>
      </c>
      <c r="M5" s="18">
        <f t="shared" si="0"/>
        <v>3250</v>
      </c>
      <c r="N5" s="18">
        <f>+SUM(B5:M5)</f>
        <v>36500</v>
      </c>
      <c r="P5" s="18">
        <f>+P3+P4</f>
        <v>10000</v>
      </c>
      <c r="Q5" s="18">
        <f>+Q3+Q4</f>
        <v>10500</v>
      </c>
      <c r="R5" s="18">
        <f>+R3+R4</f>
        <v>7000</v>
      </c>
      <c r="S5" s="18">
        <f>+S3+S4</f>
        <v>10500</v>
      </c>
      <c r="T5" s="18">
        <f>+T3+T4</f>
        <v>38000</v>
      </c>
      <c r="U5" s="13">
        <f>+T5/N5-1</f>
        <v>4.1095890410958846E-2</v>
      </c>
    </row>
    <row r="7" spans="1:21" x14ac:dyDescent="0.3">
      <c r="G7" s="18"/>
      <c r="H7" s="18"/>
      <c r="I7" s="18"/>
      <c r="J7" s="18"/>
      <c r="K7" s="18"/>
      <c r="L7" s="18"/>
      <c r="M7" s="18"/>
      <c r="N7" s="18"/>
      <c r="T7" s="18"/>
      <c r="U7" s="13"/>
    </row>
    <row r="8" spans="1:21" x14ac:dyDescent="0.3">
      <c r="A8" s="18" t="s">
        <v>130</v>
      </c>
      <c r="B8" s="18">
        <f>+ROUTING!C38</f>
        <v>58910.603052912593</v>
      </c>
      <c r="C8" s="18">
        <f>+ROUTING!D38</f>
        <v>58910.603052912593</v>
      </c>
      <c r="D8" s="18">
        <f>+ROUTING!E38</f>
        <v>58910.603052912593</v>
      </c>
      <c r="E8" s="18">
        <f>+ROUTING!F38</f>
        <v>58910.603052912593</v>
      </c>
      <c r="F8" s="18">
        <f>+ROUTING!G38</f>
        <v>58910.603052912593</v>
      </c>
      <c r="G8" s="18">
        <f>+ROUTING!H38</f>
        <v>70692.723663495111</v>
      </c>
      <c r="H8" s="18">
        <f>+ROUTING!I38</f>
        <v>70692.723663495111</v>
      </c>
      <c r="I8" s="18">
        <f>+ROUTING!J38</f>
        <v>0</v>
      </c>
      <c r="J8" s="18">
        <f>+ROUTING!K38</f>
        <v>94256.964884660149</v>
      </c>
      <c r="K8" s="18">
        <f>+ROUTING!L38</f>
        <v>94256.964884660149</v>
      </c>
      <c r="L8" s="18">
        <f>+ROUTING!M38</f>
        <v>94256.964884660149</v>
      </c>
      <c r="M8" s="18">
        <f>+ROUTING!N38</f>
        <v>94256.964884660149</v>
      </c>
      <c r="N8" s="18">
        <f>+ROUTING!O38</f>
        <v>812966.32213019393</v>
      </c>
      <c r="T8" s="18"/>
      <c r="U8" s="13"/>
    </row>
    <row r="9" spans="1:21" x14ac:dyDescent="0.3">
      <c r="A9" s="18" t="s">
        <v>132</v>
      </c>
      <c r="B9" s="18" t="e">
        <f>+BOM!C33</f>
        <v>#DIV/0!</v>
      </c>
      <c r="C9" s="18" t="e">
        <f>+BOM!D33</f>
        <v>#DIV/0!</v>
      </c>
      <c r="D9" s="18" t="e">
        <f>+BOM!E33</f>
        <v>#DIV/0!</v>
      </c>
      <c r="E9" s="18" t="e">
        <f>+BOM!F33</f>
        <v>#DIV/0!</v>
      </c>
      <c r="F9" s="18" t="e">
        <f>+BOM!G33</f>
        <v>#DIV/0!</v>
      </c>
      <c r="G9" s="18" t="e">
        <f>+BOM!H33</f>
        <v>#DIV/0!</v>
      </c>
      <c r="H9" s="18" t="e">
        <f>+BOM!I33</f>
        <v>#DIV/0!</v>
      </c>
      <c r="I9" s="18" t="e">
        <f>+BOM!J33</f>
        <v>#DIV/0!</v>
      </c>
      <c r="J9" s="18" t="e">
        <f>+BOM!K33</f>
        <v>#DIV/0!</v>
      </c>
      <c r="K9" s="18" t="e">
        <f>+BOM!L33</f>
        <v>#DIV/0!</v>
      </c>
      <c r="L9" s="18" t="e">
        <f>+BOM!M33</f>
        <v>#DIV/0!</v>
      </c>
      <c r="M9" s="18" t="e">
        <f>+BOM!N33</f>
        <v>#DIV/0!</v>
      </c>
      <c r="N9" s="18" t="e">
        <f>+BOM!O33</f>
        <v>#DIV/0!</v>
      </c>
      <c r="T9" s="18"/>
      <c r="U9" s="13"/>
    </row>
    <row r="10" spans="1:21" x14ac:dyDescent="0.3">
      <c r="A10" s="18" t="s">
        <v>153</v>
      </c>
      <c r="B10" s="18" t="e">
        <f>+SUM(B8:B9)</f>
        <v>#DIV/0!</v>
      </c>
      <c r="C10" s="18" t="e">
        <f t="shared" ref="C10:N10" si="1">+SUM(C8:C9)</f>
        <v>#DIV/0!</v>
      </c>
      <c r="D10" s="18" t="e">
        <f t="shared" si="1"/>
        <v>#DIV/0!</v>
      </c>
      <c r="E10" s="18" t="e">
        <f t="shared" si="1"/>
        <v>#DIV/0!</v>
      </c>
      <c r="F10" s="18" t="e">
        <f t="shared" si="1"/>
        <v>#DIV/0!</v>
      </c>
      <c r="G10" s="18" t="e">
        <f t="shared" si="1"/>
        <v>#DIV/0!</v>
      </c>
      <c r="H10" s="18" t="e">
        <f t="shared" si="1"/>
        <v>#DIV/0!</v>
      </c>
      <c r="I10" s="18" t="e">
        <f t="shared" si="1"/>
        <v>#DIV/0!</v>
      </c>
      <c r="J10" s="18" t="e">
        <f t="shared" si="1"/>
        <v>#DIV/0!</v>
      </c>
      <c r="K10" s="18" t="e">
        <f t="shared" si="1"/>
        <v>#DIV/0!</v>
      </c>
      <c r="L10" s="18" t="e">
        <f t="shared" si="1"/>
        <v>#DIV/0!</v>
      </c>
      <c r="M10" s="18" t="e">
        <f t="shared" si="1"/>
        <v>#DIV/0!</v>
      </c>
      <c r="N10" s="18" t="e">
        <f t="shared" si="1"/>
        <v>#DIV/0!</v>
      </c>
      <c r="T10" s="18"/>
      <c r="U10" s="13"/>
    </row>
    <row r="11" spans="1:21" x14ac:dyDescent="0.3">
      <c r="G11" s="18"/>
      <c r="H11" s="18"/>
      <c r="I11" s="18"/>
      <c r="J11" s="18"/>
      <c r="K11" s="18"/>
      <c r="L11" s="75"/>
      <c r="M11" s="101" t="s">
        <v>188</v>
      </c>
      <c r="N11" s="102" t="e">
        <f>+N10/N3</f>
        <v>#DIV/0!</v>
      </c>
      <c r="T11" s="18"/>
      <c r="U11" s="13"/>
    </row>
    <row r="12" spans="1:21" x14ac:dyDescent="0.3">
      <c r="A12" s="18" t="s">
        <v>181</v>
      </c>
      <c r="B12" s="18" t="e">
        <f>+'altri costi industriali'!B36</f>
        <v>#DIV/0!</v>
      </c>
      <c r="C12" s="18" t="e">
        <f>+'altri costi industriali'!C36</f>
        <v>#DIV/0!</v>
      </c>
      <c r="D12" s="18" t="e">
        <f>+'altri costi industriali'!D36</f>
        <v>#DIV/0!</v>
      </c>
      <c r="E12" s="18" t="e">
        <f>+'altri costi industriali'!E36</f>
        <v>#DIV/0!</v>
      </c>
      <c r="F12" s="18" t="e">
        <f>+'altri costi industriali'!F36</f>
        <v>#DIV/0!</v>
      </c>
      <c r="G12" s="18" t="e">
        <f>+'altri costi industriali'!G36</f>
        <v>#DIV/0!</v>
      </c>
      <c r="H12" s="18" t="e">
        <f>+'altri costi industriali'!H36</f>
        <v>#DIV/0!</v>
      </c>
      <c r="I12" s="18" t="e">
        <f>+'altri costi industriali'!I36</f>
        <v>#DIV/0!</v>
      </c>
      <c r="J12" s="18" t="e">
        <f>+'altri costi industriali'!J36</f>
        <v>#DIV/0!</v>
      </c>
      <c r="K12" s="18" t="e">
        <f>+'altri costi industriali'!K36</f>
        <v>#DIV/0!</v>
      </c>
      <c r="L12" s="18" t="e">
        <f>+'altri costi industriali'!L36</f>
        <v>#DIV/0!</v>
      </c>
      <c r="M12" s="18" t="e">
        <f>+'altri costi industriali'!M36</f>
        <v>#DIV/0!</v>
      </c>
      <c r="N12" s="18" t="e">
        <f>+SUM(B12:M12)</f>
        <v>#DIV/0!</v>
      </c>
      <c r="T12" s="18"/>
      <c r="U12" s="13"/>
    </row>
    <row r="13" spans="1:21" x14ac:dyDescent="0.3">
      <c r="A13" s="18" t="s">
        <v>182</v>
      </c>
      <c r="B13" s="18" t="e">
        <f>+B10+B12</f>
        <v>#DIV/0!</v>
      </c>
      <c r="C13" s="18" t="e">
        <f t="shared" ref="C13:M13" si="2">+C10+C12</f>
        <v>#DIV/0!</v>
      </c>
      <c r="D13" s="18" t="e">
        <f t="shared" si="2"/>
        <v>#DIV/0!</v>
      </c>
      <c r="E13" s="18" t="e">
        <f t="shared" si="2"/>
        <v>#DIV/0!</v>
      </c>
      <c r="F13" s="18" t="e">
        <f t="shared" si="2"/>
        <v>#DIV/0!</v>
      </c>
      <c r="G13" s="18" t="e">
        <f t="shared" si="2"/>
        <v>#DIV/0!</v>
      </c>
      <c r="H13" s="18" t="e">
        <f t="shared" si="2"/>
        <v>#DIV/0!</v>
      </c>
      <c r="I13" s="18" t="e">
        <f t="shared" si="2"/>
        <v>#DIV/0!</v>
      </c>
      <c r="J13" s="18" t="e">
        <f t="shared" si="2"/>
        <v>#DIV/0!</v>
      </c>
      <c r="K13" s="18" t="e">
        <f t="shared" si="2"/>
        <v>#DIV/0!</v>
      </c>
      <c r="L13" s="18" t="e">
        <f>+L10+L12</f>
        <v>#DIV/0!</v>
      </c>
      <c r="M13" s="18" t="e">
        <f t="shared" si="2"/>
        <v>#DIV/0!</v>
      </c>
      <c r="N13" s="18" t="e">
        <f>+SUM(B13:M13)</f>
        <v>#DIV/0!</v>
      </c>
      <c r="T13" s="18"/>
      <c r="U13" s="13"/>
    </row>
    <row r="14" spans="1:21" x14ac:dyDescent="0.3">
      <c r="G14" s="18"/>
      <c r="H14" s="18"/>
      <c r="I14" s="18"/>
      <c r="J14" s="18"/>
      <c r="K14" s="18"/>
      <c r="L14" s="75"/>
      <c r="M14" s="101" t="s">
        <v>189</v>
      </c>
      <c r="N14" s="102" t="e">
        <f>+N13/N3</f>
        <v>#DIV/0!</v>
      </c>
      <c r="T14" s="18"/>
      <c r="U14" s="13"/>
    </row>
    <row r="15" spans="1:21" x14ac:dyDescent="0.3">
      <c r="G15" s="18"/>
      <c r="H15" s="18"/>
      <c r="I15" s="18"/>
      <c r="J15" s="18"/>
      <c r="K15" s="18"/>
      <c r="L15" s="18"/>
      <c r="M15" s="18"/>
      <c r="N15" s="18"/>
      <c r="T15" s="18"/>
      <c r="U15" s="13"/>
    </row>
    <row r="16" spans="1:21" x14ac:dyDescent="0.3">
      <c r="A16" s="18" t="s">
        <v>131</v>
      </c>
      <c r="B16" s="18">
        <f>+ROUTING!C39</f>
        <v>88885.704018071046</v>
      </c>
      <c r="C16" s="18">
        <f>+ROUTING!D39</f>
        <v>88885.704018071046</v>
      </c>
      <c r="D16" s="18">
        <f>+ROUTING!E39</f>
        <v>88885.704018071046</v>
      </c>
      <c r="E16" s="18">
        <f>+ROUTING!F39</f>
        <v>88885.704018071046</v>
      </c>
      <c r="F16" s="18">
        <f>+ROUTING!G39</f>
        <v>88885.704018071046</v>
      </c>
      <c r="G16" s="18">
        <f>+ROUTING!H39</f>
        <v>69133.325347388614</v>
      </c>
      <c r="H16" s="18">
        <f>+ROUTING!I39</f>
        <v>69133.325347388614</v>
      </c>
      <c r="I16" s="18">
        <f>+ROUTING!J39</f>
        <v>0</v>
      </c>
      <c r="J16" s="18">
        <f>+ROUTING!K39</f>
        <v>39504.757341364915</v>
      </c>
      <c r="K16" s="18">
        <f>+ROUTING!L39</f>
        <v>39504.757341364915</v>
      </c>
      <c r="L16" s="18">
        <f>+ROUTING!M39</f>
        <v>49380.946676706139</v>
      </c>
      <c r="M16" s="18">
        <f>+ROUTING!N39</f>
        <v>49380.946676706139</v>
      </c>
      <c r="N16" s="18">
        <f>+ROUTING!O39</f>
        <v>760466.57882127445</v>
      </c>
      <c r="T16" s="18"/>
      <c r="U16" s="13"/>
    </row>
    <row r="17" spans="1:21" x14ac:dyDescent="0.3">
      <c r="A17" s="18" t="s">
        <v>133</v>
      </c>
      <c r="B17" s="18" t="e">
        <f>+BOM!C34</f>
        <v>#DIV/0!</v>
      </c>
      <c r="C17" s="18" t="e">
        <f>+BOM!D34</f>
        <v>#DIV/0!</v>
      </c>
      <c r="D17" s="18" t="e">
        <f>+BOM!E34</f>
        <v>#DIV/0!</v>
      </c>
      <c r="E17" s="18" t="e">
        <f>+BOM!F34</f>
        <v>#DIV/0!</v>
      </c>
      <c r="F17" s="18" t="e">
        <f>+BOM!G34</f>
        <v>#DIV/0!</v>
      </c>
      <c r="G17" s="18" t="e">
        <f>+BOM!H34</f>
        <v>#DIV/0!</v>
      </c>
      <c r="H17" s="18" t="e">
        <f>+BOM!I34</f>
        <v>#DIV/0!</v>
      </c>
      <c r="I17" s="18" t="e">
        <f>+BOM!J34</f>
        <v>#DIV/0!</v>
      </c>
      <c r="J17" s="18" t="e">
        <f>+BOM!K34</f>
        <v>#DIV/0!</v>
      </c>
      <c r="K17" s="18" t="e">
        <f>+BOM!L34</f>
        <v>#DIV/0!</v>
      </c>
      <c r="L17" s="18" t="e">
        <f>+BOM!M34</f>
        <v>#DIV/0!</v>
      </c>
      <c r="M17" s="18" t="e">
        <f>+BOM!N34</f>
        <v>#DIV/0!</v>
      </c>
      <c r="N17" s="18" t="e">
        <f>+BOM!O34</f>
        <v>#DIV/0!</v>
      </c>
      <c r="T17" s="18"/>
      <c r="U17" s="13"/>
    </row>
    <row r="18" spans="1:21" x14ac:dyDescent="0.3">
      <c r="A18" s="18" t="s">
        <v>154</v>
      </c>
      <c r="B18" s="18" t="e">
        <f>+SUM(B16:B17)</f>
        <v>#DIV/0!</v>
      </c>
      <c r="C18" s="18" t="e">
        <f t="shared" ref="C18:N18" si="3">+SUM(C16:C17)</f>
        <v>#DIV/0!</v>
      </c>
      <c r="D18" s="18" t="e">
        <f t="shared" si="3"/>
        <v>#DIV/0!</v>
      </c>
      <c r="E18" s="18" t="e">
        <f t="shared" si="3"/>
        <v>#DIV/0!</v>
      </c>
      <c r="F18" s="18" t="e">
        <f t="shared" si="3"/>
        <v>#DIV/0!</v>
      </c>
      <c r="G18" s="18" t="e">
        <f t="shared" si="3"/>
        <v>#DIV/0!</v>
      </c>
      <c r="H18" s="18" t="e">
        <f t="shared" si="3"/>
        <v>#DIV/0!</v>
      </c>
      <c r="I18" s="18" t="e">
        <f t="shared" si="3"/>
        <v>#DIV/0!</v>
      </c>
      <c r="J18" s="18" t="e">
        <f t="shared" si="3"/>
        <v>#DIV/0!</v>
      </c>
      <c r="K18" s="18" t="e">
        <f t="shared" si="3"/>
        <v>#DIV/0!</v>
      </c>
      <c r="L18" s="18" t="e">
        <f t="shared" si="3"/>
        <v>#DIV/0!</v>
      </c>
      <c r="M18" s="18" t="e">
        <f t="shared" si="3"/>
        <v>#DIV/0!</v>
      </c>
      <c r="N18" s="18" t="e">
        <f t="shared" si="3"/>
        <v>#DIV/0!</v>
      </c>
      <c r="T18" s="18"/>
      <c r="U18" s="13"/>
    </row>
    <row r="19" spans="1:21" x14ac:dyDescent="0.3">
      <c r="G19" s="18"/>
      <c r="H19" s="18"/>
      <c r="I19" s="18"/>
      <c r="J19" s="18"/>
      <c r="K19" s="18"/>
      <c r="L19" s="18"/>
      <c r="M19" s="101" t="s">
        <v>190</v>
      </c>
      <c r="N19" s="102" t="e">
        <f t="shared" ref="N19" si="4">+N18/N4</f>
        <v>#DIV/0!</v>
      </c>
      <c r="T19" s="18"/>
      <c r="U19" s="13"/>
    </row>
    <row r="20" spans="1:21" x14ac:dyDescent="0.3">
      <c r="A20" s="18" t="s">
        <v>183</v>
      </c>
      <c r="B20" s="18" t="e">
        <f>+'altri costi industriali'!B37</f>
        <v>#DIV/0!</v>
      </c>
      <c r="C20" s="18" t="e">
        <f>+'altri costi industriali'!C37</f>
        <v>#DIV/0!</v>
      </c>
      <c r="D20" s="18" t="e">
        <f>+'altri costi industriali'!D37</f>
        <v>#DIV/0!</v>
      </c>
      <c r="E20" s="18" t="e">
        <f>+'altri costi industriali'!E37</f>
        <v>#DIV/0!</v>
      </c>
      <c r="F20" s="18" t="e">
        <f>+'altri costi industriali'!F37</f>
        <v>#DIV/0!</v>
      </c>
      <c r="G20" s="18" t="e">
        <f>+'altri costi industriali'!G37</f>
        <v>#DIV/0!</v>
      </c>
      <c r="H20" s="18" t="e">
        <f>+'altri costi industriali'!H37</f>
        <v>#DIV/0!</v>
      </c>
      <c r="I20" s="18" t="e">
        <f>+'altri costi industriali'!I37</f>
        <v>#DIV/0!</v>
      </c>
      <c r="J20" s="18" t="e">
        <f>+'altri costi industriali'!J37</f>
        <v>#DIV/0!</v>
      </c>
      <c r="K20" s="18" t="e">
        <f>+'altri costi industriali'!K37</f>
        <v>#DIV/0!</v>
      </c>
      <c r="L20" s="18" t="e">
        <f>+'altri costi industriali'!L37</f>
        <v>#DIV/0!</v>
      </c>
      <c r="M20" s="18" t="e">
        <f>+'altri costi industriali'!M37</f>
        <v>#DIV/0!</v>
      </c>
      <c r="N20" s="18" t="e">
        <f>+SUM(B20:M20)</f>
        <v>#DIV/0!</v>
      </c>
      <c r="T20" s="18"/>
      <c r="U20" s="13"/>
    </row>
    <row r="21" spans="1:21" x14ac:dyDescent="0.3">
      <c r="A21" s="18" t="s">
        <v>184</v>
      </c>
      <c r="B21" s="18" t="e">
        <f>+B18+B20</f>
        <v>#DIV/0!</v>
      </c>
      <c r="C21" s="18" t="e">
        <f t="shared" ref="C21" si="5">+C18+C20</f>
        <v>#DIV/0!</v>
      </c>
      <c r="D21" s="18" t="e">
        <f t="shared" ref="D21" si="6">+D18+D20</f>
        <v>#DIV/0!</v>
      </c>
      <c r="E21" s="18" t="e">
        <f t="shared" ref="E21" si="7">+E18+E20</f>
        <v>#DIV/0!</v>
      </c>
      <c r="F21" s="18" t="e">
        <f t="shared" ref="F21" si="8">+F18+F20</f>
        <v>#DIV/0!</v>
      </c>
      <c r="G21" s="18" t="e">
        <f t="shared" ref="G21" si="9">+G18+G20</f>
        <v>#DIV/0!</v>
      </c>
      <c r="H21" s="18" t="e">
        <f t="shared" ref="H21" si="10">+H18+H20</f>
        <v>#DIV/0!</v>
      </c>
      <c r="I21" s="18" t="e">
        <f t="shared" ref="I21" si="11">+I18+I20</f>
        <v>#DIV/0!</v>
      </c>
      <c r="J21" s="18" t="e">
        <f t="shared" ref="J21" si="12">+J18+J20</f>
        <v>#DIV/0!</v>
      </c>
      <c r="K21" s="18" t="e">
        <f t="shared" ref="K21" si="13">+K18+K20</f>
        <v>#DIV/0!</v>
      </c>
      <c r="L21" s="18" t="e">
        <f t="shared" ref="L21" si="14">+L18+L20</f>
        <v>#DIV/0!</v>
      </c>
      <c r="M21" s="18" t="e">
        <f t="shared" ref="M21" si="15">+M18+M20</f>
        <v>#DIV/0!</v>
      </c>
      <c r="N21" s="18" t="e">
        <f>+SUM(B21:M21)</f>
        <v>#DIV/0!</v>
      </c>
      <c r="T21" s="18"/>
      <c r="U21" s="13"/>
    </row>
    <row r="22" spans="1:21" x14ac:dyDescent="0.3">
      <c r="G22" s="18"/>
      <c r="H22" s="18"/>
      <c r="I22" s="18"/>
      <c r="J22" s="18"/>
      <c r="K22" s="18"/>
      <c r="L22" s="75"/>
      <c r="M22" s="101" t="s">
        <v>189</v>
      </c>
      <c r="N22" s="102" t="e">
        <f>+N21/N4</f>
        <v>#DIV/0!</v>
      </c>
      <c r="T22" s="18"/>
      <c r="U22" s="13"/>
    </row>
    <row r="23" spans="1:21" x14ac:dyDescent="0.3">
      <c r="G23" s="18"/>
      <c r="H23" s="18"/>
      <c r="I23" s="18"/>
      <c r="J23" s="18"/>
      <c r="K23" s="18"/>
      <c r="L23" s="18"/>
      <c r="M23" s="18"/>
      <c r="N23" s="18"/>
      <c r="T23" s="18"/>
      <c r="U23" s="13"/>
    </row>
    <row r="24" spans="1:21" x14ac:dyDescent="0.3">
      <c r="G24" s="18"/>
      <c r="H24" s="18"/>
      <c r="I24" s="18"/>
      <c r="J24" s="18"/>
      <c r="K24" s="18"/>
      <c r="L24" s="18"/>
      <c r="M24" s="18"/>
      <c r="N24" s="18"/>
      <c r="T24" s="18"/>
      <c r="U24" s="13"/>
    </row>
  </sheetData>
  <mergeCells count="3">
    <mergeCell ref="B1:N1"/>
    <mergeCell ref="P1:T1"/>
    <mergeCell ref="U1: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A093-8186-42BE-AD72-A52F14B8BEB9}">
  <dimension ref="A1:P37"/>
  <sheetViews>
    <sheetView zoomScale="120" zoomScaleNormal="120" workbookViewId="0">
      <pane xSplit="1" ySplit="2" topLeftCell="B19" activePane="bottomRight" state="frozen"/>
      <selection pane="topRight" activeCell="E1" sqref="E1"/>
      <selection pane="bottomLeft" activeCell="A3" sqref="A3"/>
      <selection pane="bottomRight" activeCell="P19" sqref="P19"/>
    </sheetView>
  </sheetViews>
  <sheetFormatPr defaultRowHeight="14.4" x14ac:dyDescent="0.3"/>
  <cols>
    <col min="1" max="1" width="24.88671875" style="18" bestFit="1" customWidth="1"/>
    <col min="2" max="6" width="9.109375" style="18" bestFit="1" customWidth="1"/>
    <col min="7" max="13" width="9.109375" bestFit="1" customWidth="1"/>
    <col min="14" max="14" width="10.109375" bestFit="1" customWidth="1"/>
    <col min="15" max="15" width="3.21875" customWidth="1"/>
  </cols>
  <sheetData>
    <row r="1" spans="1:14" x14ac:dyDescent="0.3">
      <c r="B1" s="115" t="s">
        <v>16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14" x14ac:dyDescent="0.3">
      <c r="B2" s="19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1" t="s">
        <v>29</v>
      </c>
      <c r="N2" s="22" t="s">
        <v>1</v>
      </c>
    </row>
    <row r="3" spans="1:14" x14ac:dyDescent="0.3">
      <c r="A3" s="18" t="s">
        <v>156</v>
      </c>
      <c r="B3" s="18">
        <f>+SUM(ROUTING!C10:C12)</f>
        <v>1500</v>
      </c>
      <c r="C3" s="18">
        <f>+SUM(ROUTING!D10:D12)</f>
        <v>1500</v>
      </c>
      <c r="D3" s="18">
        <f>+SUM(ROUTING!E10:E12)</f>
        <v>1500</v>
      </c>
      <c r="E3" s="18">
        <f>+SUM(ROUTING!F10:F12)</f>
        <v>1500</v>
      </c>
      <c r="F3" s="18">
        <f>+SUM(ROUTING!G10:G12)</f>
        <v>1500</v>
      </c>
      <c r="G3" s="18">
        <f>+SUM(ROUTING!H10:H12)</f>
        <v>1800</v>
      </c>
      <c r="H3" s="18">
        <f>+SUM(ROUTING!I10:I12)</f>
        <v>1800</v>
      </c>
      <c r="I3" s="18">
        <f>+SUM(ROUTING!J10:J12)</f>
        <v>0</v>
      </c>
      <c r="J3" s="18">
        <f>+SUM(ROUTING!K10:K12)</f>
        <v>2400</v>
      </c>
      <c r="K3" s="18">
        <f>+SUM(ROUTING!L10:L12)</f>
        <v>2400</v>
      </c>
      <c r="L3" s="18">
        <f>+SUM(ROUTING!M10:M12)</f>
        <v>2400</v>
      </c>
      <c r="M3" s="18">
        <f>+SUM(ROUTING!N10:N12)</f>
        <v>2400</v>
      </c>
      <c r="N3" s="18">
        <f>+SUM(B3:M3)</f>
        <v>20700</v>
      </c>
    </row>
    <row r="4" spans="1:14" x14ac:dyDescent="0.3">
      <c r="A4" s="18" t="s">
        <v>157</v>
      </c>
      <c r="B4" s="18">
        <f>+SUM(ROUTING!C16:C18)</f>
        <v>2025</v>
      </c>
      <c r="C4" s="18">
        <f>+SUM(ROUTING!D16:D18)</f>
        <v>2025</v>
      </c>
      <c r="D4" s="18">
        <f>+SUM(ROUTING!E16:E18)</f>
        <v>2025</v>
      </c>
      <c r="E4" s="18">
        <f>+SUM(ROUTING!F16:F18)</f>
        <v>2025</v>
      </c>
      <c r="F4" s="18">
        <f>+SUM(ROUTING!G16:G18)</f>
        <v>2025</v>
      </c>
      <c r="G4" s="18">
        <f>+SUM(ROUTING!H16:H18)</f>
        <v>1575</v>
      </c>
      <c r="H4" s="18">
        <f>+SUM(ROUTING!I16:I18)</f>
        <v>1575</v>
      </c>
      <c r="I4" s="18">
        <f>+SUM(ROUTING!J16:J18)</f>
        <v>0</v>
      </c>
      <c r="J4" s="18">
        <f>+SUM(ROUTING!K16:K18)</f>
        <v>900</v>
      </c>
      <c r="K4" s="18">
        <f>+SUM(ROUTING!L16:L18)</f>
        <v>900</v>
      </c>
      <c r="L4" s="18">
        <f>+SUM(ROUTING!M16:M18)</f>
        <v>1125</v>
      </c>
      <c r="M4" s="18">
        <f>+SUM(ROUTING!N16:N18)</f>
        <v>1125</v>
      </c>
      <c r="N4" s="18">
        <f>+SUM(B4:M4)</f>
        <v>17325</v>
      </c>
    </row>
    <row r="5" spans="1:14" x14ac:dyDescent="0.3">
      <c r="A5" s="18" t="s">
        <v>159</v>
      </c>
      <c r="B5" s="18">
        <f>+B3+B4</f>
        <v>3525</v>
      </c>
      <c r="C5" s="18">
        <f t="shared" ref="C5:M5" si="0">+C3+C4</f>
        <v>3525</v>
      </c>
      <c r="D5" s="18">
        <f t="shared" si="0"/>
        <v>3525</v>
      </c>
      <c r="E5" s="18">
        <f t="shared" si="0"/>
        <v>3525</v>
      </c>
      <c r="F5" s="18">
        <f t="shared" si="0"/>
        <v>3525</v>
      </c>
      <c r="G5" s="18">
        <f t="shared" si="0"/>
        <v>3375</v>
      </c>
      <c r="H5" s="18">
        <f t="shared" si="0"/>
        <v>3375</v>
      </c>
      <c r="I5" s="18">
        <f t="shared" si="0"/>
        <v>0</v>
      </c>
      <c r="J5" s="18">
        <f t="shared" si="0"/>
        <v>3300</v>
      </c>
      <c r="K5" s="18">
        <f t="shared" si="0"/>
        <v>3300</v>
      </c>
      <c r="L5" s="18">
        <f t="shared" si="0"/>
        <v>3525</v>
      </c>
      <c r="M5" s="18">
        <f t="shared" si="0"/>
        <v>3525</v>
      </c>
      <c r="N5" s="18">
        <f>+SUM(B5:M5)</f>
        <v>38025</v>
      </c>
    </row>
    <row r="7" spans="1:14" x14ac:dyDescent="0.3">
      <c r="A7" s="18" t="s">
        <v>160</v>
      </c>
      <c r="B7" s="18">
        <f>+ROUTING!C11</f>
        <v>1050</v>
      </c>
      <c r="C7" s="18">
        <f>+ROUTING!D11</f>
        <v>1050</v>
      </c>
      <c r="D7" s="18">
        <f>+ROUTING!E11</f>
        <v>1050</v>
      </c>
      <c r="E7" s="18">
        <f>+ROUTING!F11</f>
        <v>1050</v>
      </c>
      <c r="F7" s="18">
        <f>+ROUTING!G11</f>
        <v>1050</v>
      </c>
      <c r="G7" s="18">
        <f>+ROUTING!H11</f>
        <v>1260</v>
      </c>
      <c r="H7" s="18">
        <f>+ROUTING!I11</f>
        <v>1260</v>
      </c>
      <c r="I7" s="18">
        <f>+ROUTING!J11</f>
        <v>0</v>
      </c>
      <c r="J7" s="18">
        <f>+ROUTING!K11</f>
        <v>1680</v>
      </c>
      <c r="K7" s="18">
        <f>+ROUTING!L11</f>
        <v>1680</v>
      </c>
      <c r="L7" s="18">
        <f>+ROUTING!M11</f>
        <v>1680</v>
      </c>
      <c r="M7" s="18">
        <f>+ROUTING!N11</f>
        <v>1680</v>
      </c>
      <c r="N7" s="18">
        <f>+ROUTING!O11</f>
        <v>14490</v>
      </c>
    </row>
    <row r="8" spans="1:14" x14ac:dyDescent="0.3">
      <c r="A8" s="18" t="s">
        <v>161</v>
      </c>
      <c r="B8" s="18">
        <f>+ROUTING!C17</f>
        <v>1215</v>
      </c>
      <c r="C8" s="18">
        <f>+ROUTING!D17</f>
        <v>1215</v>
      </c>
      <c r="D8" s="18">
        <f>+ROUTING!E17</f>
        <v>1215</v>
      </c>
      <c r="E8" s="18">
        <f>+ROUTING!F17</f>
        <v>1215</v>
      </c>
      <c r="F8" s="18">
        <f>+ROUTING!G17</f>
        <v>1215</v>
      </c>
      <c r="G8" s="18">
        <f>+ROUTING!H17</f>
        <v>945.00000000000011</v>
      </c>
      <c r="H8" s="18">
        <f>+ROUTING!I17</f>
        <v>945.00000000000011</v>
      </c>
      <c r="I8" s="18">
        <f>+ROUTING!J17</f>
        <v>0</v>
      </c>
      <c r="J8" s="18">
        <f>+ROUTING!K17</f>
        <v>540</v>
      </c>
      <c r="K8" s="18">
        <f>+ROUTING!L17</f>
        <v>540</v>
      </c>
      <c r="L8" s="18">
        <f>+ROUTING!M17</f>
        <v>675</v>
      </c>
      <c r="M8" s="18">
        <f>+ROUTING!N17</f>
        <v>675</v>
      </c>
      <c r="N8" s="18">
        <f>+ROUTING!O17</f>
        <v>10395</v>
      </c>
    </row>
    <row r="9" spans="1:14" x14ac:dyDescent="0.3">
      <c r="A9" s="18" t="s">
        <v>195</v>
      </c>
      <c r="B9" s="18">
        <f>+B7+B8</f>
        <v>2265</v>
      </c>
      <c r="C9" s="18">
        <f t="shared" ref="C9:N9" si="1">+C7+C8</f>
        <v>2265</v>
      </c>
      <c r="D9" s="18">
        <f t="shared" si="1"/>
        <v>2265</v>
      </c>
      <c r="E9" s="18">
        <f t="shared" si="1"/>
        <v>2265</v>
      </c>
      <c r="F9" s="18">
        <f t="shared" si="1"/>
        <v>2265</v>
      </c>
      <c r="G9" s="18">
        <f t="shared" si="1"/>
        <v>2205</v>
      </c>
      <c r="H9" s="18">
        <f t="shared" si="1"/>
        <v>2205</v>
      </c>
      <c r="I9" s="18">
        <f t="shared" si="1"/>
        <v>0</v>
      </c>
      <c r="J9" s="18">
        <f t="shared" si="1"/>
        <v>2220</v>
      </c>
      <c r="K9" s="18">
        <f t="shared" si="1"/>
        <v>2220</v>
      </c>
      <c r="L9" s="18">
        <f t="shared" si="1"/>
        <v>2355</v>
      </c>
      <c r="M9" s="18">
        <f t="shared" si="1"/>
        <v>2355</v>
      </c>
      <c r="N9" s="18">
        <f t="shared" si="1"/>
        <v>24885</v>
      </c>
    </row>
    <row r="11" spans="1:14" x14ac:dyDescent="0.3">
      <c r="A11" s="18" t="s">
        <v>130</v>
      </c>
      <c r="B11" s="18">
        <f>+SUM(ROUTING!C26:C28)</f>
        <v>2550</v>
      </c>
      <c r="C11" s="18">
        <f>+SUM(ROUTING!D26:D28)</f>
        <v>2550</v>
      </c>
      <c r="D11" s="18">
        <f>+SUM(ROUTING!E26:E28)</f>
        <v>2550</v>
      </c>
      <c r="E11" s="18">
        <f>+SUM(ROUTING!F26:F28)</f>
        <v>2550</v>
      </c>
      <c r="F11" s="18">
        <f>+SUM(ROUTING!G26:G28)</f>
        <v>2550</v>
      </c>
      <c r="G11" s="18">
        <f>+SUM(ROUTING!H26:H28)</f>
        <v>3060</v>
      </c>
      <c r="H11" s="18">
        <f>+SUM(ROUTING!I26:I28)</f>
        <v>3060</v>
      </c>
      <c r="I11" s="18">
        <f>+SUM(ROUTING!J26:J28)</f>
        <v>0</v>
      </c>
      <c r="J11" s="18">
        <f>+SUM(ROUTING!K26:K28)</f>
        <v>4080</v>
      </c>
      <c r="K11" s="18">
        <f>+SUM(ROUTING!L26:L28)</f>
        <v>4080</v>
      </c>
      <c r="L11" s="18">
        <f>+SUM(ROUTING!M26:M28)</f>
        <v>4080</v>
      </c>
      <c r="M11" s="18">
        <f>+SUM(ROUTING!N26:N28)</f>
        <v>4080</v>
      </c>
      <c r="N11" s="18">
        <f>+SUM(B11:M11)</f>
        <v>35190</v>
      </c>
    </row>
    <row r="12" spans="1:14" x14ac:dyDescent="0.3">
      <c r="A12" s="18" t="s">
        <v>131</v>
      </c>
      <c r="B12" s="18">
        <f>+SUM(ROUTING!C31:C33)</f>
        <v>3847.5</v>
      </c>
      <c r="C12" s="18">
        <f>+SUM(ROUTING!D31:D33)</f>
        <v>3847.5</v>
      </c>
      <c r="D12" s="18">
        <f>+SUM(ROUTING!E31:E33)</f>
        <v>3847.5</v>
      </c>
      <c r="E12" s="18">
        <f>+SUM(ROUTING!F31:F33)</f>
        <v>3847.5</v>
      </c>
      <c r="F12" s="18">
        <f>+SUM(ROUTING!G31:G33)</f>
        <v>3847.5</v>
      </c>
      <c r="G12" s="18">
        <f>+SUM(ROUTING!H31:H33)</f>
        <v>2992.5000000000005</v>
      </c>
      <c r="H12" s="18">
        <f>+SUM(ROUTING!I31:I33)</f>
        <v>2992.5000000000005</v>
      </c>
      <c r="I12" s="18">
        <f>+SUM(ROUTING!J31:J33)</f>
        <v>0</v>
      </c>
      <c r="J12" s="18">
        <f>+SUM(ROUTING!K31:K33)</f>
        <v>1710</v>
      </c>
      <c r="K12" s="18">
        <f>+SUM(ROUTING!L31:L33)</f>
        <v>1710</v>
      </c>
      <c r="L12" s="18">
        <f>+SUM(ROUTING!M31:M33)</f>
        <v>2137.5</v>
      </c>
      <c r="M12" s="18">
        <f>+SUM(ROUTING!N31:N33)</f>
        <v>2137.5</v>
      </c>
      <c r="N12" s="18">
        <f>+SUM(B12:M12)</f>
        <v>32917.5</v>
      </c>
    </row>
    <row r="13" spans="1:14" x14ac:dyDescent="0.3">
      <c r="A13" s="18" t="s">
        <v>158</v>
      </c>
      <c r="B13" s="18">
        <f>+B11+B12</f>
        <v>6397.5</v>
      </c>
      <c r="C13" s="18">
        <f t="shared" ref="C13:M13" si="2">+C11+C12</f>
        <v>6397.5</v>
      </c>
      <c r="D13" s="18">
        <f t="shared" si="2"/>
        <v>6397.5</v>
      </c>
      <c r="E13" s="18">
        <f t="shared" si="2"/>
        <v>6397.5</v>
      </c>
      <c r="F13" s="18">
        <f t="shared" si="2"/>
        <v>6397.5</v>
      </c>
      <c r="G13" s="18">
        <f t="shared" si="2"/>
        <v>6052.5</v>
      </c>
      <c r="H13" s="18">
        <f t="shared" si="2"/>
        <v>6052.5</v>
      </c>
      <c r="I13" s="18">
        <f t="shared" si="2"/>
        <v>0</v>
      </c>
      <c r="J13" s="18">
        <f t="shared" si="2"/>
        <v>5790</v>
      </c>
      <c r="K13" s="18">
        <f t="shared" si="2"/>
        <v>5790</v>
      </c>
      <c r="L13" s="18">
        <f t="shared" si="2"/>
        <v>6217.5</v>
      </c>
      <c r="M13" s="18">
        <f t="shared" si="2"/>
        <v>6217.5</v>
      </c>
      <c r="N13" s="18">
        <f>+SUM(B13:M13)</f>
        <v>68107.5</v>
      </c>
    </row>
    <row r="14" spans="1:14" x14ac:dyDescent="0.3">
      <c r="G14" s="18"/>
      <c r="H14" s="18"/>
      <c r="I14" s="18"/>
      <c r="J14" s="18"/>
      <c r="K14" s="18"/>
      <c r="L14" s="18"/>
      <c r="M14" s="18"/>
      <c r="N14" s="18"/>
    </row>
    <row r="15" spans="1:14" x14ac:dyDescent="0.3">
      <c r="A15" s="18" t="s">
        <v>153</v>
      </c>
      <c r="B15" s="18" t="e">
        <f>+'costo primo e margini'!B10</f>
        <v>#DIV/0!</v>
      </c>
      <c r="C15" s="18" t="e">
        <f>+'costo primo e margini'!C10</f>
        <v>#DIV/0!</v>
      </c>
      <c r="D15" s="18" t="e">
        <f>+'costo primo e margini'!D10</f>
        <v>#DIV/0!</v>
      </c>
      <c r="E15" s="18" t="e">
        <f>+'costo primo e margini'!E10</f>
        <v>#DIV/0!</v>
      </c>
      <c r="F15" s="18" t="e">
        <f>+'costo primo e margini'!F10</f>
        <v>#DIV/0!</v>
      </c>
      <c r="G15" s="18" t="e">
        <f>+'costo primo e margini'!G10</f>
        <v>#DIV/0!</v>
      </c>
      <c r="H15" s="18" t="e">
        <f>+'costo primo e margini'!H10</f>
        <v>#DIV/0!</v>
      </c>
      <c r="I15" s="18" t="e">
        <f>+'costo primo e margini'!I10</f>
        <v>#DIV/0!</v>
      </c>
      <c r="J15" s="18" t="e">
        <f>+'costo primo e margini'!J10</f>
        <v>#DIV/0!</v>
      </c>
      <c r="K15" s="18" t="e">
        <f>+'costo primo e margini'!K10</f>
        <v>#DIV/0!</v>
      </c>
      <c r="L15" s="18" t="e">
        <f>+'costo primo e margini'!L10</f>
        <v>#DIV/0!</v>
      </c>
      <c r="M15" s="18" t="e">
        <f>+'costo primo e margini'!M10</f>
        <v>#DIV/0!</v>
      </c>
      <c r="N15" s="18" t="e">
        <f t="shared" ref="N15:N16" si="3">+SUM(B15:M15)</f>
        <v>#DIV/0!</v>
      </c>
    </row>
    <row r="16" spans="1:14" x14ac:dyDescent="0.3">
      <c r="A16" s="18" t="s">
        <v>154</v>
      </c>
      <c r="B16" s="18" t="e">
        <f>+'costo primo e margini'!B18</f>
        <v>#DIV/0!</v>
      </c>
      <c r="C16" s="18" t="e">
        <f>+'costo primo e margini'!C18</f>
        <v>#DIV/0!</v>
      </c>
      <c r="D16" s="18" t="e">
        <f>+'costo primo e margini'!D18</f>
        <v>#DIV/0!</v>
      </c>
      <c r="E16" s="18" t="e">
        <f>+'costo primo e margini'!E18</f>
        <v>#DIV/0!</v>
      </c>
      <c r="F16" s="18" t="e">
        <f>+'costo primo e margini'!F18</f>
        <v>#DIV/0!</v>
      </c>
      <c r="G16" s="18" t="e">
        <f>+'costo primo e margini'!G18</f>
        <v>#DIV/0!</v>
      </c>
      <c r="H16" s="18" t="e">
        <f>+'costo primo e margini'!H18</f>
        <v>#DIV/0!</v>
      </c>
      <c r="I16" s="18" t="e">
        <f>+'costo primo e margini'!I18</f>
        <v>#DIV/0!</v>
      </c>
      <c r="J16" s="18" t="e">
        <f>+'costo primo e margini'!J18</f>
        <v>#DIV/0!</v>
      </c>
      <c r="K16" s="18" t="e">
        <f>+'costo primo e margini'!K18</f>
        <v>#DIV/0!</v>
      </c>
      <c r="L16" s="18" t="e">
        <f>+'costo primo e margini'!L18</f>
        <v>#DIV/0!</v>
      </c>
      <c r="M16" s="18" t="e">
        <f>+'costo primo e margini'!M18</f>
        <v>#DIV/0!</v>
      </c>
      <c r="N16" s="18" t="e">
        <f t="shared" si="3"/>
        <v>#DIV/0!</v>
      </c>
    </row>
    <row r="17" spans="1:16" x14ac:dyDescent="0.3">
      <c r="A17" s="18" t="s">
        <v>155</v>
      </c>
      <c r="B17" s="18" t="e">
        <f>+B15+B16</f>
        <v>#DIV/0!</v>
      </c>
      <c r="C17" s="18" t="e">
        <f t="shared" ref="C17:M17" si="4">+C15+C16</f>
        <v>#DIV/0!</v>
      </c>
      <c r="D17" s="18" t="e">
        <f t="shared" si="4"/>
        <v>#DIV/0!</v>
      </c>
      <c r="E17" s="18" t="e">
        <f t="shared" si="4"/>
        <v>#DIV/0!</v>
      </c>
      <c r="F17" s="18" t="e">
        <f t="shared" si="4"/>
        <v>#DIV/0!</v>
      </c>
      <c r="G17" s="18" t="e">
        <f t="shared" si="4"/>
        <v>#DIV/0!</v>
      </c>
      <c r="H17" s="18" t="e">
        <f t="shared" si="4"/>
        <v>#DIV/0!</v>
      </c>
      <c r="I17" s="18" t="e">
        <f t="shared" si="4"/>
        <v>#DIV/0!</v>
      </c>
      <c r="J17" s="18" t="e">
        <f t="shared" si="4"/>
        <v>#DIV/0!</v>
      </c>
      <c r="K17" s="18" t="e">
        <f t="shared" si="4"/>
        <v>#DIV/0!</v>
      </c>
      <c r="L17" s="18" t="e">
        <f t="shared" si="4"/>
        <v>#DIV/0!</v>
      </c>
      <c r="M17" s="18" t="e">
        <f t="shared" si="4"/>
        <v>#DIV/0!</v>
      </c>
      <c r="N17" s="18" t="e">
        <f>+SUM(B17:M17)</f>
        <v>#DIV/0!</v>
      </c>
    </row>
    <row r="18" spans="1:16" x14ac:dyDescent="0.3">
      <c r="G18" s="18"/>
      <c r="H18" s="18"/>
      <c r="I18" s="18"/>
      <c r="J18" s="18"/>
      <c r="K18" s="18"/>
      <c r="L18" s="18"/>
      <c r="M18" s="18"/>
      <c r="N18" s="18"/>
    </row>
    <row r="19" spans="1:16" x14ac:dyDescent="0.3">
      <c r="G19" s="18"/>
      <c r="H19" s="18"/>
      <c r="I19" s="18"/>
      <c r="J19" s="18"/>
      <c r="K19" s="18"/>
      <c r="L19" s="18"/>
      <c r="M19" s="18"/>
      <c r="N19" s="18"/>
      <c r="P19" s="7" t="s">
        <v>194</v>
      </c>
    </row>
    <row r="20" spans="1:16" x14ac:dyDescent="0.3">
      <c r="A20" s="18" t="s">
        <v>163</v>
      </c>
      <c r="B20" s="114">
        <f t="shared" ref="B20:M20" si="5">+$N$22*B3/$N$5</f>
        <v>13806.706114398423</v>
      </c>
      <c r="C20" s="114">
        <f t="shared" si="5"/>
        <v>13806.706114398423</v>
      </c>
      <c r="D20" s="114">
        <f t="shared" si="5"/>
        <v>13806.706114398423</v>
      </c>
      <c r="E20" s="114">
        <f t="shared" si="5"/>
        <v>13806.706114398423</v>
      </c>
      <c r="F20" s="114">
        <f t="shared" si="5"/>
        <v>13806.706114398423</v>
      </c>
      <c r="G20" s="114">
        <f t="shared" si="5"/>
        <v>16568.047337278105</v>
      </c>
      <c r="H20" s="114">
        <f t="shared" si="5"/>
        <v>16568.047337278105</v>
      </c>
      <c r="I20" s="114">
        <f t="shared" si="5"/>
        <v>0</v>
      </c>
      <c r="J20" s="114">
        <f t="shared" si="5"/>
        <v>22090.729783037474</v>
      </c>
      <c r="K20" s="114">
        <f t="shared" si="5"/>
        <v>22090.729783037474</v>
      </c>
      <c r="L20" s="114">
        <f t="shared" si="5"/>
        <v>22090.729783037474</v>
      </c>
      <c r="M20" s="114">
        <f t="shared" si="5"/>
        <v>22090.729783037474</v>
      </c>
      <c r="N20" s="18">
        <f>+SUM(B20:M20)</f>
        <v>190532.54437869822</v>
      </c>
    </row>
    <row r="21" spans="1:16" x14ac:dyDescent="0.3">
      <c r="A21" s="18" t="s">
        <v>164</v>
      </c>
      <c r="B21" s="114">
        <f t="shared" ref="B21:M21" si="6">+$N$22*B4/$N$5</f>
        <v>18639.053254437869</v>
      </c>
      <c r="C21" s="114">
        <f t="shared" si="6"/>
        <v>18639.053254437869</v>
      </c>
      <c r="D21" s="114">
        <f t="shared" si="6"/>
        <v>18639.053254437869</v>
      </c>
      <c r="E21" s="114">
        <f t="shared" si="6"/>
        <v>18639.053254437869</v>
      </c>
      <c r="F21" s="114">
        <f t="shared" si="6"/>
        <v>18639.053254437869</v>
      </c>
      <c r="G21" s="114">
        <f t="shared" si="6"/>
        <v>14497.041420118343</v>
      </c>
      <c r="H21" s="114">
        <f t="shared" si="6"/>
        <v>14497.041420118343</v>
      </c>
      <c r="I21" s="114">
        <f t="shared" si="6"/>
        <v>0</v>
      </c>
      <c r="J21" s="114">
        <f t="shared" si="6"/>
        <v>8284.0236686390526</v>
      </c>
      <c r="K21" s="114">
        <f t="shared" si="6"/>
        <v>8284.0236686390526</v>
      </c>
      <c r="L21" s="114">
        <f t="shared" si="6"/>
        <v>10355.029585798817</v>
      </c>
      <c r="M21" s="114">
        <f t="shared" si="6"/>
        <v>10355.029585798817</v>
      </c>
      <c r="N21" s="18">
        <f>+SUM(B21:M21)</f>
        <v>159467.45562130178</v>
      </c>
    </row>
    <row r="22" spans="1:16" x14ac:dyDescent="0.3">
      <c r="A22" s="18" t="s">
        <v>162</v>
      </c>
      <c r="B22" s="114">
        <f t="shared" ref="B22:L22" si="7">+$N$22*B5/$N$5</f>
        <v>32445.75936883629</v>
      </c>
      <c r="C22" s="114">
        <f t="shared" si="7"/>
        <v>32445.75936883629</v>
      </c>
      <c r="D22" s="114">
        <f t="shared" si="7"/>
        <v>32445.75936883629</v>
      </c>
      <c r="E22" s="114">
        <f t="shared" si="7"/>
        <v>32445.75936883629</v>
      </c>
      <c r="F22" s="114">
        <f t="shared" si="7"/>
        <v>32445.75936883629</v>
      </c>
      <c r="G22" s="114">
        <f t="shared" si="7"/>
        <v>31065.08875739645</v>
      </c>
      <c r="H22" s="114">
        <f t="shared" si="7"/>
        <v>31065.08875739645</v>
      </c>
      <c r="I22" s="114">
        <f t="shared" si="7"/>
        <v>0</v>
      </c>
      <c r="J22" s="114">
        <f t="shared" si="7"/>
        <v>30374.75345167653</v>
      </c>
      <c r="K22" s="114">
        <f t="shared" si="7"/>
        <v>30374.75345167653</v>
      </c>
      <c r="L22" s="114">
        <f t="shared" si="7"/>
        <v>32445.75936883629</v>
      </c>
      <c r="M22" s="114">
        <f>+$N$22*M5/$N$5</f>
        <v>32445.75936883629</v>
      </c>
      <c r="N22" s="135">
        <v>350000</v>
      </c>
      <c r="P22" t="s">
        <v>169</v>
      </c>
    </row>
    <row r="23" spans="1:16" x14ac:dyDescent="0.3">
      <c r="G23" s="18"/>
      <c r="H23" s="18"/>
      <c r="I23" s="18"/>
      <c r="J23" s="18"/>
      <c r="K23" s="18"/>
      <c r="L23" s="18"/>
      <c r="M23" s="18"/>
      <c r="N23" s="18"/>
    </row>
    <row r="24" spans="1:16" x14ac:dyDescent="0.3">
      <c r="A24" s="18" t="s">
        <v>165</v>
      </c>
      <c r="B24" s="114">
        <f t="shared" ref="B24:M24" si="8">+$N$26*B7/$N$9</f>
        <v>6329.1139240506327</v>
      </c>
      <c r="C24" s="114">
        <f t="shared" si="8"/>
        <v>6329.1139240506327</v>
      </c>
      <c r="D24" s="114">
        <f t="shared" si="8"/>
        <v>6329.1139240506327</v>
      </c>
      <c r="E24" s="114">
        <f t="shared" si="8"/>
        <v>6329.1139240506327</v>
      </c>
      <c r="F24" s="114">
        <f t="shared" si="8"/>
        <v>6329.1139240506327</v>
      </c>
      <c r="G24" s="114">
        <f t="shared" si="8"/>
        <v>7594.9367088607596</v>
      </c>
      <c r="H24" s="114">
        <f t="shared" si="8"/>
        <v>7594.9367088607596</v>
      </c>
      <c r="I24" s="114">
        <f t="shared" si="8"/>
        <v>0</v>
      </c>
      <c r="J24" s="114">
        <f t="shared" si="8"/>
        <v>10126.582278481013</v>
      </c>
      <c r="K24" s="114">
        <f t="shared" si="8"/>
        <v>10126.582278481013</v>
      </c>
      <c r="L24" s="114">
        <f t="shared" si="8"/>
        <v>10126.582278481013</v>
      </c>
      <c r="M24" s="114">
        <f t="shared" si="8"/>
        <v>10126.582278481013</v>
      </c>
      <c r="N24" s="18">
        <f>+SUM(B24:M24)</f>
        <v>87341.772151898738</v>
      </c>
    </row>
    <row r="25" spans="1:16" x14ac:dyDescent="0.3">
      <c r="A25" s="18" t="s">
        <v>166</v>
      </c>
      <c r="B25" s="114">
        <f t="shared" ref="B25:M25" si="9">+$N$26*B8/$N$9</f>
        <v>7323.6889692585892</v>
      </c>
      <c r="C25" s="114">
        <f t="shared" si="9"/>
        <v>7323.6889692585892</v>
      </c>
      <c r="D25" s="114">
        <f t="shared" si="9"/>
        <v>7323.6889692585892</v>
      </c>
      <c r="E25" s="114">
        <f t="shared" si="9"/>
        <v>7323.6889692585892</v>
      </c>
      <c r="F25" s="114">
        <f t="shared" si="9"/>
        <v>7323.6889692585892</v>
      </c>
      <c r="G25" s="114">
        <f t="shared" si="9"/>
        <v>5696.2025316455711</v>
      </c>
      <c r="H25" s="114">
        <f t="shared" si="9"/>
        <v>5696.2025316455711</v>
      </c>
      <c r="I25" s="114">
        <f t="shared" si="9"/>
        <v>0</v>
      </c>
      <c r="J25" s="114">
        <f t="shared" si="9"/>
        <v>3254.9728752260398</v>
      </c>
      <c r="K25" s="114">
        <f t="shared" si="9"/>
        <v>3254.9728752260398</v>
      </c>
      <c r="L25" s="114">
        <f t="shared" si="9"/>
        <v>4068.7160940325498</v>
      </c>
      <c r="M25" s="114">
        <f t="shared" si="9"/>
        <v>4068.7160940325498</v>
      </c>
      <c r="N25" s="18">
        <f>+SUM(B25:M25)</f>
        <v>62658.227848101262</v>
      </c>
    </row>
    <row r="26" spans="1:16" x14ac:dyDescent="0.3">
      <c r="A26" s="18" t="s">
        <v>167</v>
      </c>
      <c r="B26" s="114">
        <f t="shared" ref="B26:L26" si="10">+$N$26*B9/$N$9</f>
        <v>13652.802893309223</v>
      </c>
      <c r="C26" s="114">
        <f t="shared" si="10"/>
        <v>13652.802893309223</v>
      </c>
      <c r="D26" s="114">
        <f t="shared" si="10"/>
        <v>13652.802893309223</v>
      </c>
      <c r="E26" s="114">
        <f t="shared" si="10"/>
        <v>13652.802893309223</v>
      </c>
      <c r="F26" s="114">
        <f t="shared" si="10"/>
        <v>13652.802893309223</v>
      </c>
      <c r="G26" s="114">
        <f t="shared" si="10"/>
        <v>13291.139240506329</v>
      </c>
      <c r="H26" s="114">
        <f t="shared" si="10"/>
        <v>13291.139240506329</v>
      </c>
      <c r="I26" s="114">
        <f t="shared" si="10"/>
        <v>0</v>
      </c>
      <c r="J26" s="114">
        <f t="shared" si="10"/>
        <v>13381.555153707053</v>
      </c>
      <c r="K26" s="114">
        <f t="shared" si="10"/>
        <v>13381.555153707053</v>
      </c>
      <c r="L26" s="114">
        <f t="shared" si="10"/>
        <v>14195.298372513562</v>
      </c>
      <c r="M26" s="114">
        <f>+$N$26*M9/$N$9</f>
        <v>14195.298372513562</v>
      </c>
      <c r="N26" s="135">
        <v>150000</v>
      </c>
      <c r="P26" t="s">
        <v>170</v>
      </c>
    </row>
    <row r="27" spans="1:16" x14ac:dyDescent="0.3">
      <c r="G27" s="18"/>
      <c r="H27" s="18"/>
      <c r="I27" s="18"/>
      <c r="J27" s="18"/>
      <c r="K27" s="18"/>
      <c r="L27" s="18"/>
      <c r="M27" s="18"/>
      <c r="N27" s="18"/>
    </row>
    <row r="28" spans="1:16" x14ac:dyDescent="0.3">
      <c r="A28" s="18" t="s">
        <v>173</v>
      </c>
      <c r="B28" s="114">
        <f t="shared" ref="B28:M28" si="11">+$N$30*B11/$N$13</f>
        <v>7488.162096685387</v>
      </c>
      <c r="C28" s="114">
        <f t="shared" si="11"/>
        <v>7488.162096685387</v>
      </c>
      <c r="D28" s="114">
        <f t="shared" si="11"/>
        <v>7488.162096685387</v>
      </c>
      <c r="E28" s="114">
        <f t="shared" si="11"/>
        <v>7488.162096685387</v>
      </c>
      <c r="F28" s="114">
        <f t="shared" si="11"/>
        <v>7488.162096685387</v>
      </c>
      <c r="G28" s="114">
        <f t="shared" si="11"/>
        <v>8985.7945160224644</v>
      </c>
      <c r="H28" s="114">
        <f t="shared" si="11"/>
        <v>8985.7945160224644</v>
      </c>
      <c r="I28" s="114">
        <f t="shared" si="11"/>
        <v>0</v>
      </c>
      <c r="J28" s="114">
        <f t="shared" si="11"/>
        <v>11981.059354696619</v>
      </c>
      <c r="K28" s="114">
        <f t="shared" si="11"/>
        <v>11981.059354696619</v>
      </c>
      <c r="L28" s="114">
        <f t="shared" si="11"/>
        <v>11981.059354696619</v>
      </c>
      <c r="M28" s="114">
        <f t="shared" si="11"/>
        <v>11981.059354696619</v>
      </c>
      <c r="N28" s="18">
        <f>+SUM(B28:M28)</f>
        <v>103336.63693425836</v>
      </c>
    </row>
    <row r="29" spans="1:16" x14ac:dyDescent="0.3">
      <c r="A29" s="18" t="s">
        <v>174</v>
      </c>
      <c r="B29" s="114">
        <f t="shared" ref="B29:M29" si="12">+$N$30*B12/$N$13</f>
        <v>11298.315163528247</v>
      </c>
      <c r="C29" s="114">
        <f t="shared" si="12"/>
        <v>11298.315163528247</v>
      </c>
      <c r="D29" s="114">
        <f t="shared" si="12"/>
        <v>11298.315163528247</v>
      </c>
      <c r="E29" s="114">
        <f t="shared" si="12"/>
        <v>11298.315163528247</v>
      </c>
      <c r="F29" s="114">
        <f t="shared" si="12"/>
        <v>11298.315163528247</v>
      </c>
      <c r="G29" s="114">
        <f t="shared" si="12"/>
        <v>8787.5784605219706</v>
      </c>
      <c r="H29" s="114">
        <f t="shared" si="12"/>
        <v>8787.5784605219706</v>
      </c>
      <c r="I29" s="114">
        <f t="shared" si="12"/>
        <v>0</v>
      </c>
      <c r="J29" s="114">
        <f t="shared" si="12"/>
        <v>5021.4734060125538</v>
      </c>
      <c r="K29" s="114">
        <f t="shared" si="12"/>
        <v>5021.4734060125538</v>
      </c>
      <c r="L29" s="114">
        <f t="shared" si="12"/>
        <v>6276.8417575156918</v>
      </c>
      <c r="M29" s="114">
        <f t="shared" si="12"/>
        <v>6276.8417575156918</v>
      </c>
      <c r="N29" s="18">
        <f>+SUM(B29:M29)</f>
        <v>96663.363065741651</v>
      </c>
    </row>
    <row r="30" spans="1:16" x14ac:dyDescent="0.3">
      <c r="A30" s="18" t="s">
        <v>168</v>
      </c>
      <c r="B30" s="114">
        <f t="shared" ref="B30:L30" si="13">+$N$30*B13/$N$13</f>
        <v>18786.477260213633</v>
      </c>
      <c r="C30" s="114">
        <f t="shared" si="13"/>
        <v>18786.477260213633</v>
      </c>
      <c r="D30" s="114">
        <f t="shared" si="13"/>
        <v>18786.477260213633</v>
      </c>
      <c r="E30" s="114">
        <f t="shared" si="13"/>
        <v>18786.477260213633</v>
      </c>
      <c r="F30" s="114">
        <f t="shared" si="13"/>
        <v>18786.477260213633</v>
      </c>
      <c r="G30" s="114">
        <f t="shared" si="13"/>
        <v>17773.372976544433</v>
      </c>
      <c r="H30" s="114">
        <f t="shared" si="13"/>
        <v>17773.372976544433</v>
      </c>
      <c r="I30" s="114">
        <f t="shared" si="13"/>
        <v>0</v>
      </c>
      <c r="J30" s="114">
        <f t="shared" si="13"/>
        <v>17002.532760709171</v>
      </c>
      <c r="K30" s="114">
        <f t="shared" si="13"/>
        <v>17002.532760709171</v>
      </c>
      <c r="L30" s="114">
        <f t="shared" si="13"/>
        <v>18257.901112212312</v>
      </c>
      <c r="M30" s="114">
        <f>+$N$30*M13/$N$13</f>
        <v>18257.901112212312</v>
      </c>
      <c r="N30" s="135">
        <v>200000</v>
      </c>
      <c r="P30" t="s">
        <v>171</v>
      </c>
    </row>
    <row r="31" spans="1:16" x14ac:dyDescent="0.3">
      <c r="G31" s="18"/>
      <c r="H31" s="18"/>
      <c r="I31" s="18"/>
      <c r="J31" s="18"/>
      <c r="K31" s="18"/>
      <c r="L31" s="18"/>
      <c r="M31" s="18"/>
      <c r="N31" s="18"/>
    </row>
    <row r="32" spans="1:16" x14ac:dyDescent="0.3">
      <c r="A32" s="18" t="s">
        <v>175</v>
      </c>
      <c r="B32" s="114" t="e">
        <f t="shared" ref="B32:M32" si="14">+$N$34*B15/$N$17</f>
        <v>#DIV/0!</v>
      </c>
      <c r="C32" s="114" t="e">
        <f t="shared" si="14"/>
        <v>#DIV/0!</v>
      </c>
      <c r="D32" s="114" t="e">
        <f t="shared" si="14"/>
        <v>#DIV/0!</v>
      </c>
      <c r="E32" s="114" t="e">
        <f t="shared" si="14"/>
        <v>#DIV/0!</v>
      </c>
      <c r="F32" s="114" t="e">
        <f t="shared" si="14"/>
        <v>#DIV/0!</v>
      </c>
      <c r="G32" s="114" t="e">
        <f t="shared" si="14"/>
        <v>#DIV/0!</v>
      </c>
      <c r="H32" s="114" t="e">
        <f t="shared" si="14"/>
        <v>#DIV/0!</v>
      </c>
      <c r="I32" s="114" t="e">
        <f t="shared" si="14"/>
        <v>#DIV/0!</v>
      </c>
      <c r="J32" s="114" t="e">
        <f t="shared" si="14"/>
        <v>#DIV/0!</v>
      </c>
      <c r="K32" s="114" t="e">
        <f t="shared" si="14"/>
        <v>#DIV/0!</v>
      </c>
      <c r="L32" s="114" t="e">
        <f t="shared" si="14"/>
        <v>#DIV/0!</v>
      </c>
      <c r="M32" s="114" t="e">
        <f t="shared" si="14"/>
        <v>#DIV/0!</v>
      </c>
      <c r="N32" s="18" t="e">
        <f>+SUM(B32:M32)</f>
        <v>#DIV/0!</v>
      </c>
    </row>
    <row r="33" spans="1:16" x14ac:dyDescent="0.3">
      <c r="A33" s="18" t="s">
        <v>176</v>
      </c>
      <c r="B33" s="114" t="e">
        <f t="shared" ref="B33:M33" si="15">+$N$34*B16/$N$17</f>
        <v>#DIV/0!</v>
      </c>
      <c r="C33" s="114" t="e">
        <f t="shared" si="15"/>
        <v>#DIV/0!</v>
      </c>
      <c r="D33" s="114" t="e">
        <f t="shared" si="15"/>
        <v>#DIV/0!</v>
      </c>
      <c r="E33" s="114" t="e">
        <f t="shared" si="15"/>
        <v>#DIV/0!</v>
      </c>
      <c r="F33" s="114" t="e">
        <f t="shared" si="15"/>
        <v>#DIV/0!</v>
      </c>
      <c r="G33" s="114" t="e">
        <f t="shared" si="15"/>
        <v>#DIV/0!</v>
      </c>
      <c r="H33" s="114" t="e">
        <f t="shared" si="15"/>
        <v>#DIV/0!</v>
      </c>
      <c r="I33" s="114" t="e">
        <f t="shared" si="15"/>
        <v>#DIV/0!</v>
      </c>
      <c r="J33" s="114" t="e">
        <f t="shared" si="15"/>
        <v>#DIV/0!</v>
      </c>
      <c r="K33" s="114" t="e">
        <f t="shared" si="15"/>
        <v>#DIV/0!</v>
      </c>
      <c r="L33" s="114" t="e">
        <f t="shared" si="15"/>
        <v>#DIV/0!</v>
      </c>
      <c r="M33" s="114" t="e">
        <f t="shared" si="15"/>
        <v>#DIV/0!</v>
      </c>
      <c r="N33" s="18" t="e">
        <f>+SUM(B33:M33)</f>
        <v>#DIV/0!</v>
      </c>
    </row>
    <row r="34" spans="1:16" x14ac:dyDescent="0.3">
      <c r="A34" s="18" t="s">
        <v>172</v>
      </c>
      <c r="B34" s="114" t="e">
        <f t="shared" ref="B34:L34" si="16">+$N$34*B17/$N$17</f>
        <v>#DIV/0!</v>
      </c>
      <c r="C34" s="114" t="e">
        <f t="shared" si="16"/>
        <v>#DIV/0!</v>
      </c>
      <c r="D34" s="114" t="e">
        <f t="shared" si="16"/>
        <v>#DIV/0!</v>
      </c>
      <c r="E34" s="114" t="e">
        <f t="shared" si="16"/>
        <v>#DIV/0!</v>
      </c>
      <c r="F34" s="114" t="e">
        <f t="shared" si="16"/>
        <v>#DIV/0!</v>
      </c>
      <c r="G34" s="114" t="e">
        <f t="shared" si="16"/>
        <v>#DIV/0!</v>
      </c>
      <c r="H34" s="114" t="e">
        <f t="shared" si="16"/>
        <v>#DIV/0!</v>
      </c>
      <c r="I34" s="114" t="e">
        <f t="shared" si="16"/>
        <v>#DIV/0!</v>
      </c>
      <c r="J34" s="114" t="e">
        <f t="shared" si="16"/>
        <v>#DIV/0!</v>
      </c>
      <c r="K34" s="114" t="e">
        <f t="shared" si="16"/>
        <v>#DIV/0!</v>
      </c>
      <c r="L34" s="114" t="e">
        <f t="shared" si="16"/>
        <v>#DIV/0!</v>
      </c>
      <c r="M34" s="114" t="e">
        <f>+$N$34*M17/$N$17</f>
        <v>#DIV/0!</v>
      </c>
      <c r="N34" s="135">
        <v>50000</v>
      </c>
      <c r="P34" t="s">
        <v>177</v>
      </c>
    </row>
    <row r="35" spans="1:16" x14ac:dyDescent="0.3">
      <c r="G35" s="18"/>
      <c r="H35" s="18"/>
      <c r="I35" s="18"/>
      <c r="J35" s="18"/>
      <c r="K35" s="18"/>
      <c r="L35" s="18"/>
      <c r="M35" s="18"/>
      <c r="N35" s="18"/>
    </row>
    <row r="36" spans="1:16" x14ac:dyDescent="0.3">
      <c r="A36" s="18" t="s">
        <v>179</v>
      </c>
      <c r="B36" s="18" t="e">
        <f>+SUM(B20,B24,B28,B32)</f>
        <v>#DIV/0!</v>
      </c>
      <c r="C36" s="18" t="e">
        <f t="shared" ref="C36:M36" si="17">+SUM(C20,C24,C28,C32)</f>
        <v>#DIV/0!</v>
      </c>
      <c r="D36" s="18" t="e">
        <f t="shared" si="17"/>
        <v>#DIV/0!</v>
      </c>
      <c r="E36" s="18" t="e">
        <f t="shared" si="17"/>
        <v>#DIV/0!</v>
      </c>
      <c r="F36" s="18" t="e">
        <f t="shared" si="17"/>
        <v>#DIV/0!</v>
      </c>
      <c r="G36" s="18" t="e">
        <f t="shared" si="17"/>
        <v>#DIV/0!</v>
      </c>
      <c r="H36" s="18" t="e">
        <f t="shared" si="17"/>
        <v>#DIV/0!</v>
      </c>
      <c r="I36" s="18" t="e">
        <f t="shared" si="17"/>
        <v>#DIV/0!</v>
      </c>
      <c r="J36" s="18" t="e">
        <f t="shared" si="17"/>
        <v>#DIV/0!</v>
      </c>
      <c r="K36" s="18" t="e">
        <f t="shared" si="17"/>
        <v>#DIV/0!</v>
      </c>
      <c r="L36" s="18" t="e">
        <f t="shared" si="17"/>
        <v>#DIV/0!</v>
      </c>
      <c r="M36" s="18" t="e">
        <f t="shared" si="17"/>
        <v>#DIV/0!</v>
      </c>
    </row>
    <row r="37" spans="1:16" x14ac:dyDescent="0.3">
      <c r="A37" s="18" t="s">
        <v>180</v>
      </c>
      <c r="B37" s="18" t="e">
        <f t="shared" ref="B37:M37" si="18">+SUM(B21,B25,B29,B33)</f>
        <v>#DIV/0!</v>
      </c>
      <c r="C37" s="18" t="e">
        <f t="shared" si="18"/>
        <v>#DIV/0!</v>
      </c>
      <c r="D37" s="18" t="e">
        <f t="shared" si="18"/>
        <v>#DIV/0!</v>
      </c>
      <c r="E37" s="18" t="e">
        <f t="shared" si="18"/>
        <v>#DIV/0!</v>
      </c>
      <c r="F37" s="18" t="e">
        <f t="shared" si="18"/>
        <v>#DIV/0!</v>
      </c>
      <c r="G37" s="18" t="e">
        <f t="shared" si="18"/>
        <v>#DIV/0!</v>
      </c>
      <c r="H37" s="18" t="e">
        <f t="shared" si="18"/>
        <v>#DIV/0!</v>
      </c>
      <c r="I37" s="18" t="e">
        <f t="shared" si="18"/>
        <v>#DIV/0!</v>
      </c>
      <c r="J37" s="18" t="e">
        <f t="shared" si="18"/>
        <v>#DIV/0!</v>
      </c>
      <c r="K37" s="18" t="e">
        <f t="shared" si="18"/>
        <v>#DIV/0!</v>
      </c>
      <c r="L37" s="18" t="e">
        <f t="shared" si="18"/>
        <v>#DIV/0!</v>
      </c>
      <c r="M37" s="18" t="e">
        <f t="shared" si="18"/>
        <v>#DIV/0!</v>
      </c>
    </row>
  </sheetData>
  <mergeCells count="1">
    <mergeCell ref="B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 vendite</vt:lpstr>
      <vt:lpstr>piano di produzione</vt:lpstr>
      <vt:lpstr>budget scorte prodotti fin</vt:lpstr>
      <vt:lpstr>ROUTING</vt:lpstr>
      <vt:lpstr>manodopera diretta e costo h</vt:lpstr>
      <vt:lpstr>BOM</vt:lpstr>
      <vt:lpstr>budget scorte mat ed acquisti</vt:lpstr>
      <vt:lpstr>costo primo e margini</vt:lpstr>
      <vt:lpstr>altri costi industriali</vt:lpstr>
      <vt:lpstr>fatturato e margini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 Catenma</dc:creator>
  <cp:lastModifiedBy>Massi Catenma</cp:lastModifiedBy>
  <dcterms:created xsi:type="dcterms:W3CDTF">2023-05-01T16:43:05Z</dcterms:created>
  <dcterms:modified xsi:type="dcterms:W3CDTF">2023-05-09T04:49:53Z</dcterms:modified>
</cp:coreProperties>
</file>