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elda\ownCloud\DIDATTICA\FINANZIARIA\EA\AA2020_2021\PUBBLICATI\"/>
    </mc:Choice>
  </mc:AlternateContent>
  <bookViews>
    <workbookView xWindow="0" yWindow="0" windowWidth="20400" windowHeight="7752" firstSheet="3" activeTab="9"/>
  </bookViews>
  <sheets>
    <sheet name="ST_ES1" sheetId="4" r:id="rId1"/>
    <sheet name="ST_ES2" sheetId="5" r:id="rId2"/>
    <sheet name="ST_ES3" sheetId="6" r:id="rId3"/>
    <sheet name="ST_ES4" sheetId="7" r:id="rId4"/>
    <sheet name="ST_ES5" sheetId="8" r:id="rId5"/>
    <sheet name="ST_ES6" sheetId="9" r:id="rId6"/>
    <sheet name="ST_ES7" sheetId="10" r:id="rId7"/>
    <sheet name="ST_ES8" sheetId="11" r:id="rId8"/>
    <sheet name="ST_ES9" sheetId="42" r:id="rId9"/>
    <sheet name="ST_ES10" sheetId="43" r:id="rId10"/>
    <sheet name="ST_ES11" sheetId="3" r:id="rId11"/>
    <sheet name="ST_ES12" sheetId="47" r:id="rId12"/>
    <sheet name="ST_ES13" sheetId="41" r:id="rId13"/>
    <sheet name="ST_ES14" sheetId="40" r:id="rId14"/>
    <sheet name="ST_ES15" sheetId="45" r:id="rId15"/>
    <sheet name="ST_ES16" sheetId="46" r:id="rId16"/>
    <sheet name="ST_ES17" sheetId="48" r:id="rId17"/>
    <sheet name="ST_ES18" sheetId="49" r:id="rId18"/>
    <sheet name="Foglio4" sheetId="50" r:id="rId19"/>
  </sheets>
  <calcPr calcId="162913"/>
</workbook>
</file>

<file path=xl/calcChain.xml><?xml version="1.0" encoding="utf-8"?>
<calcChain xmlns="http://schemas.openxmlformats.org/spreadsheetml/2006/main">
  <c r="K15" i="7" l="1"/>
  <c r="K16" i="7"/>
  <c r="K14" i="7"/>
  <c r="J16" i="7"/>
  <c r="J15" i="7"/>
  <c r="J14" i="7"/>
  <c r="I15" i="7"/>
  <c r="I16" i="7"/>
  <c r="I14" i="7"/>
  <c r="E15" i="7"/>
  <c r="E16" i="7"/>
  <c r="E14" i="7"/>
  <c r="E25" i="4" l="1"/>
  <c r="G25" i="4" s="1"/>
  <c r="H25" i="4" s="1"/>
  <c r="E24" i="4"/>
  <c r="F24" i="4" s="1"/>
  <c r="E23" i="4"/>
  <c r="F23" i="4" s="1"/>
  <c r="F25" i="4" l="1"/>
  <c r="G24" i="4"/>
  <c r="H24" i="4" s="1"/>
  <c r="H23" i="4"/>
  <c r="G23" i="4"/>
  <c r="E25" i="46"/>
  <c r="C27" i="46" s="1"/>
  <c r="D25" i="46"/>
  <c r="C28" i="46" s="1"/>
  <c r="C24" i="45"/>
  <c r="C23" i="45"/>
  <c r="C22" i="45"/>
  <c r="C17" i="45"/>
  <c r="I34" i="41"/>
  <c r="H34" i="41"/>
  <c r="J33" i="41"/>
  <c r="H33" i="41"/>
  <c r="I32" i="41"/>
  <c r="I35" i="41" s="1"/>
  <c r="C26" i="41"/>
  <c r="D26" i="41" s="1"/>
  <c r="C25" i="41"/>
  <c r="H32" i="41" s="1"/>
  <c r="H35" i="41" s="1"/>
  <c r="C15" i="41"/>
  <c r="C43" i="46" l="1"/>
  <c r="C44" i="46" s="1"/>
  <c r="C29" i="46"/>
  <c r="J34" i="41"/>
  <c r="J35" i="41" s="1"/>
  <c r="D25" i="41"/>
  <c r="D27" i="41" s="1"/>
  <c r="E24" i="43"/>
  <c r="E23" i="43" s="1"/>
  <c r="G19" i="43"/>
  <c r="C27" i="43" s="1"/>
  <c r="G18" i="43"/>
  <c r="C19" i="43"/>
  <c r="C20" i="43"/>
  <c r="C18" i="43"/>
  <c r="E22" i="43" l="1"/>
  <c r="H22" i="43" s="1"/>
  <c r="C26" i="43"/>
  <c r="J17" i="42"/>
  <c r="H17" i="42"/>
  <c r="F17" i="42"/>
  <c r="G17" i="42" s="1"/>
  <c r="H16" i="42"/>
  <c r="F16" i="42"/>
  <c r="G16" i="42" s="1"/>
  <c r="H15" i="42"/>
  <c r="J15" i="42" s="1"/>
  <c r="F15" i="42"/>
  <c r="G15" i="42" s="1"/>
  <c r="G14" i="42"/>
  <c r="J16" i="42" l="1"/>
  <c r="I16" i="42"/>
  <c r="I15" i="42"/>
  <c r="I17" i="42"/>
  <c r="E31" i="40"/>
  <c r="D31" i="40"/>
  <c r="D33" i="40" s="1"/>
  <c r="C39" i="40"/>
  <c r="E40" i="40"/>
  <c r="D40" i="40"/>
  <c r="E39" i="40"/>
  <c r="D39" i="40"/>
  <c r="C26" i="40"/>
  <c r="C31" i="40" s="1"/>
  <c r="C33" i="40" s="1"/>
  <c r="E32" i="40"/>
  <c r="D32" i="40"/>
  <c r="C32" i="40"/>
  <c r="K15" i="42" l="1"/>
  <c r="K17" i="42"/>
  <c r="K16" i="42"/>
  <c r="C40" i="40"/>
  <c r="D41" i="40"/>
  <c r="E33" i="40"/>
  <c r="E41" i="40"/>
  <c r="C41" i="40"/>
  <c r="F43" i="9"/>
  <c r="F44" i="9"/>
  <c r="G44" i="9" s="1"/>
  <c r="F42" i="9"/>
  <c r="G42" i="9" s="1"/>
  <c r="I42" i="9" s="1"/>
  <c r="H44" i="9" l="1"/>
  <c r="I44" i="9" s="1"/>
  <c r="H43" i="9"/>
  <c r="I43" i="9" s="1"/>
  <c r="G43" i="9"/>
  <c r="H42" i="9"/>
  <c r="H20" i="3"/>
  <c r="J20" i="3" s="1"/>
  <c r="G19" i="3"/>
  <c r="G21" i="3" s="1"/>
  <c r="H19" i="3" l="1"/>
  <c r="I19" i="3"/>
  <c r="J19" i="3" s="1"/>
  <c r="G20" i="3"/>
  <c r="I21" i="3"/>
  <c r="H21" i="3"/>
  <c r="J21" i="3" s="1"/>
  <c r="I20" i="3"/>
  <c r="E19" i="8" l="1"/>
  <c r="G18" i="8"/>
  <c r="D18" i="8"/>
  <c r="H18" i="8" s="1"/>
  <c r="G17" i="8"/>
  <c r="D17" i="8"/>
  <c r="G16" i="8"/>
  <c r="I16" i="8" s="1"/>
  <c r="D16" i="8"/>
  <c r="H16" i="8" s="1"/>
  <c r="J16" i="8" s="1"/>
  <c r="D26" i="6"/>
  <c r="D25" i="6" s="1"/>
  <c r="D24" i="6" s="1"/>
  <c r="H19" i="6"/>
  <c r="H21" i="6" s="1"/>
  <c r="F20" i="5"/>
  <c r="B20" i="5"/>
  <c r="F19" i="5"/>
  <c r="B19" i="5"/>
  <c r="F18" i="5"/>
  <c r="D23" i="5" s="1"/>
  <c r="B18" i="5"/>
  <c r="E18" i="4"/>
  <c r="G18" i="4" s="1"/>
  <c r="H18" i="4" s="1"/>
  <c r="E17" i="4"/>
  <c r="E16" i="4"/>
  <c r="G17" i="4" l="1"/>
  <c r="H17" i="4" s="1"/>
  <c r="G16" i="4"/>
  <c r="F16" i="4"/>
  <c r="H17" i="8"/>
  <c r="I18" i="5"/>
  <c r="J18" i="5" s="1"/>
  <c r="K18" i="5" s="1"/>
  <c r="I20" i="5"/>
  <c r="J20" i="5" s="1"/>
  <c r="K20" i="5" s="1"/>
  <c r="G19" i="5"/>
  <c r="H19" i="5" s="1"/>
  <c r="J19" i="6"/>
  <c r="I18" i="8"/>
  <c r="J18" i="8" s="1"/>
  <c r="G20" i="5"/>
  <c r="H20" i="5" s="1"/>
  <c r="I19" i="6"/>
  <c r="K19" i="6" s="1"/>
  <c r="G18" i="5"/>
  <c r="H18" i="5" s="1"/>
  <c r="I19" i="5"/>
  <c r="J19" i="5" s="1"/>
  <c r="K19" i="5" s="1"/>
  <c r="D24" i="5"/>
  <c r="I17" i="8"/>
  <c r="J17" i="8" s="1"/>
  <c r="I21" i="6"/>
  <c r="H20" i="6"/>
  <c r="D25" i="5"/>
  <c r="H16" i="4"/>
  <c r="F17" i="4"/>
  <c r="F18" i="4"/>
  <c r="D26" i="5" l="1"/>
  <c r="J20" i="6"/>
  <c r="K20" i="6" s="1"/>
  <c r="I20" i="6"/>
  <c r="J21" i="6"/>
  <c r="K21" i="6" s="1"/>
  <c r="I21" i="11" l="1"/>
  <c r="H21" i="11"/>
  <c r="F21" i="11"/>
  <c r="G21" i="11" s="1"/>
  <c r="I20" i="11"/>
  <c r="H20" i="11"/>
  <c r="F20" i="11"/>
  <c r="G20" i="11" s="1"/>
  <c r="I19" i="11"/>
  <c r="H19" i="11"/>
  <c r="F19" i="11"/>
  <c r="G19" i="11" s="1"/>
  <c r="G18" i="11"/>
  <c r="N58" i="10"/>
  <c r="M58" i="10"/>
  <c r="L58" i="10"/>
  <c r="N57" i="10"/>
  <c r="M57" i="10"/>
  <c r="L57" i="10"/>
  <c r="N56" i="10"/>
  <c r="M56" i="10"/>
  <c r="L56" i="10"/>
  <c r="N55" i="10"/>
  <c r="M55" i="10"/>
  <c r="L55" i="10"/>
  <c r="N54" i="10"/>
  <c r="M54" i="10"/>
  <c r="L54" i="10"/>
  <c r="N53" i="10"/>
  <c r="M53" i="10"/>
  <c r="L53" i="10"/>
  <c r="N52" i="10"/>
  <c r="M52" i="10"/>
  <c r="L52" i="10"/>
  <c r="N51" i="10"/>
  <c r="M51" i="10"/>
  <c r="L51" i="10"/>
  <c r="N50" i="10"/>
  <c r="M50" i="10"/>
  <c r="L50" i="10"/>
  <c r="N49" i="10"/>
  <c r="M49" i="10"/>
  <c r="L49" i="10"/>
  <c r="N48" i="10"/>
  <c r="M48" i="10"/>
  <c r="L48" i="10"/>
  <c r="N47" i="10"/>
  <c r="M47" i="10"/>
  <c r="L47" i="10"/>
  <c r="N46" i="10"/>
  <c r="M46" i="10"/>
  <c r="L46" i="10"/>
  <c r="N45" i="10"/>
  <c r="M45" i="10"/>
  <c r="L45" i="10"/>
  <c r="N44" i="10"/>
  <c r="M44" i="10"/>
  <c r="L44" i="10"/>
  <c r="N43" i="10"/>
  <c r="M43" i="10"/>
  <c r="L43" i="10"/>
  <c r="N42" i="10"/>
  <c r="M42" i="10"/>
  <c r="L42" i="10"/>
  <c r="N41" i="10"/>
  <c r="M41" i="10"/>
  <c r="L41" i="10"/>
  <c r="N40" i="10"/>
  <c r="M40" i="10"/>
  <c r="L40" i="10"/>
  <c r="N39" i="10"/>
  <c r="M39" i="10"/>
  <c r="L39" i="10"/>
  <c r="N38" i="10"/>
  <c r="M38" i="10"/>
  <c r="L38" i="10"/>
  <c r="N37" i="10"/>
  <c r="M37" i="10"/>
  <c r="L37" i="10"/>
  <c r="N36" i="10"/>
  <c r="M36" i="10"/>
  <c r="L36" i="10"/>
  <c r="N35" i="10"/>
  <c r="M35" i="10"/>
  <c r="L35" i="10"/>
  <c r="N34" i="10"/>
  <c r="M34" i="10"/>
  <c r="L34" i="10"/>
  <c r="N33" i="10"/>
  <c r="M33" i="10"/>
  <c r="L33" i="10"/>
  <c r="N32" i="10"/>
  <c r="M32" i="10"/>
  <c r="L32" i="10"/>
  <c r="N31" i="10"/>
  <c r="M31" i="10"/>
  <c r="L31" i="10"/>
  <c r="N30" i="10"/>
  <c r="M30" i="10"/>
  <c r="L30" i="10"/>
  <c r="D30" i="10"/>
  <c r="I30" i="10" s="1"/>
  <c r="N29" i="10"/>
  <c r="M29" i="10"/>
  <c r="L29" i="10"/>
  <c r="I29" i="10"/>
  <c r="J29" i="10" s="1"/>
  <c r="H29" i="10"/>
  <c r="O29" i="10" s="1"/>
  <c r="H25" i="9"/>
  <c r="I31" i="9" s="1"/>
  <c r="H24" i="9"/>
  <c r="I30" i="9" s="1"/>
  <c r="H23" i="9"/>
  <c r="I29" i="9" s="1"/>
  <c r="H16" i="7"/>
  <c r="H15" i="7"/>
  <c r="H14" i="7"/>
  <c r="J19" i="11" l="1"/>
  <c r="K19" i="11" s="1"/>
  <c r="K29" i="10"/>
  <c r="J21" i="11"/>
  <c r="J30" i="10"/>
  <c r="H36" i="9"/>
  <c r="J20" i="11"/>
  <c r="K20" i="11" s="1"/>
  <c r="H34" i="9"/>
  <c r="H30" i="10"/>
  <c r="O30" i="10" s="1"/>
  <c r="D31" i="10"/>
  <c r="H35" i="9" l="1"/>
  <c r="D32" i="10"/>
  <c r="H31" i="10"/>
  <c r="O31" i="10" s="1"/>
  <c r="I31" i="10"/>
  <c r="J31" i="10" s="1"/>
  <c r="K30" i="10"/>
  <c r="K21" i="11"/>
  <c r="K31" i="10" l="1"/>
  <c r="D33" i="10"/>
  <c r="I32" i="10"/>
  <c r="J32" i="10" s="1"/>
  <c r="H32" i="10"/>
  <c r="O32" i="10" s="1"/>
  <c r="K32" i="10" l="1"/>
  <c r="I33" i="10"/>
  <c r="J33" i="10" s="1"/>
  <c r="D34" i="10"/>
  <c r="H33" i="10"/>
  <c r="O33" i="10" s="1"/>
  <c r="I34" i="10" l="1"/>
  <c r="J34" i="10" s="1"/>
  <c r="D35" i="10"/>
  <c r="H34" i="10"/>
  <c r="O34" i="10" s="1"/>
  <c r="K33" i="10"/>
  <c r="K34" i="10" l="1"/>
  <c r="D36" i="10"/>
  <c r="H35" i="10"/>
  <c r="O35" i="10" s="1"/>
  <c r="I35" i="10"/>
  <c r="J35" i="10" s="1"/>
  <c r="K35" i="10" s="1"/>
  <c r="D37" i="10" l="1"/>
  <c r="I36" i="10"/>
  <c r="J36" i="10" s="1"/>
  <c r="H36" i="10"/>
  <c r="O36" i="10" s="1"/>
  <c r="K36" i="10" l="1"/>
  <c r="I37" i="10"/>
  <c r="J37" i="10" s="1"/>
  <c r="D38" i="10"/>
  <c r="H37" i="10"/>
  <c r="O37" i="10" s="1"/>
  <c r="K37" i="10" l="1"/>
  <c r="I38" i="10"/>
  <c r="J38" i="10" s="1"/>
  <c r="D39" i="10"/>
  <c r="H38" i="10"/>
  <c r="O38" i="10" s="1"/>
  <c r="K38" i="10" l="1"/>
  <c r="D40" i="10"/>
  <c r="H39" i="10"/>
  <c r="O39" i="10" s="1"/>
  <c r="I39" i="10"/>
  <c r="J39" i="10" s="1"/>
  <c r="K39" i="10" l="1"/>
  <c r="D41" i="10"/>
  <c r="I40" i="10"/>
  <c r="J40" i="10" s="1"/>
  <c r="H40" i="10"/>
  <c r="O40" i="10" s="1"/>
  <c r="K40" i="10" l="1"/>
  <c r="I41" i="10"/>
  <c r="J41" i="10" s="1"/>
  <c r="D42" i="10"/>
  <c r="H41" i="10"/>
  <c r="O41" i="10" s="1"/>
  <c r="K41" i="10" l="1"/>
  <c r="I42" i="10"/>
  <c r="J42" i="10" s="1"/>
  <c r="D43" i="10"/>
  <c r="H42" i="10"/>
  <c r="O42" i="10" s="1"/>
  <c r="D44" i="10" l="1"/>
  <c r="H43" i="10"/>
  <c r="O43" i="10" s="1"/>
  <c r="I43" i="10"/>
  <c r="J43" i="10" s="1"/>
  <c r="K42" i="10"/>
  <c r="K43" i="10" l="1"/>
  <c r="D45" i="10"/>
  <c r="I44" i="10"/>
  <c r="J44" i="10" s="1"/>
  <c r="H44" i="10"/>
  <c r="O44" i="10" s="1"/>
  <c r="K44" i="10" l="1"/>
  <c r="I45" i="10"/>
  <c r="J45" i="10" s="1"/>
  <c r="D46" i="10"/>
  <c r="H45" i="10"/>
  <c r="O45" i="10" s="1"/>
  <c r="K45" i="10" l="1"/>
  <c r="I46" i="10"/>
  <c r="J46" i="10" s="1"/>
  <c r="D47" i="10"/>
  <c r="H46" i="10"/>
  <c r="O46" i="10" s="1"/>
  <c r="D48" i="10" l="1"/>
  <c r="H47" i="10"/>
  <c r="O47" i="10" s="1"/>
  <c r="I47" i="10"/>
  <c r="J47" i="10" s="1"/>
  <c r="K47" i="10" s="1"/>
  <c r="K46" i="10"/>
  <c r="D49" i="10" l="1"/>
  <c r="H48" i="10"/>
  <c r="O48" i="10" s="1"/>
  <c r="I48" i="10"/>
  <c r="J48" i="10" s="1"/>
  <c r="K48" i="10" s="1"/>
  <c r="I49" i="10" l="1"/>
  <c r="J49" i="10" s="1"/>
  <c r="D50" i="10"/>
  <c r="H49" i="10"/>
  <c r="O49" i="10" s="1"/>
  <c r="K49" i="10" l="1"/>
  <c r="I50" i="10"/>
  <c r="J50" i="10" s="1"/>
  <c r="D51" i="10"/>
  <c r="H50" i="10"/>
  <c r="O50" i="10" s="1"/>
  <c r="K50" i="10" l="1"/>
  <c r="D52" i="10"/>
  <c r="H51" i="10"/>
  <c r="O51" i="10" s="1"/>
  <c r="I51" i="10"/>
  <c r="J51" i="10" s="1"/>
  <c r="K51" i="10" s="1"/>
  <c r="D53" i="10" l="1"/>
  <c r="H52" i="10"/>
  <c r="O52" i="10" s="1"/>
  <c r="I52" i="10"/>
  <c r="J52" i="10" s="1"/>
  <c r="K52" i="10" s="1"/>
  <c r="I53" i="10" l="1"/>
  <c r="J53" i="10" s="1"/>
  <c r="D54" i="10"/>
  <c r="H53" i="10"/>
  <c r="O53" i="10" s="1"/>
  <c r="K53" i="10" l="1"/>
  <c r="I54" i="10"/>
  <c r="J54" i="10" s="1"/>
  <c r="D55" i="10"/>
  <c r="H54" i="10"/>
  <c r="O54" i="10" s="1"/>
  <c r="K54" i="10" l="1"/>
  <c r="D56" i="10"/>
  <c r="H55" i="10"/>
  <c r="O55" i="10" s="1"/>
  <c r="I55" i="10"/>
  <c r="J55" i="10" s="1"/>
  <c r="K55" i="10" l="1"/>
  <c r="I56" i="10"/>
  <c r="J56" i="10" s="1"/>
  <c r="D57" i="10"/>
  <c r="H56" i="10"/>
  <c r="O56" i="10" s="1"/>
  <c r="K56" i="10" l="1"/>
  <c r="I57" i="10"/>
  <c r="J57" i="10" s="1"/>
  <c r="D58" i="10"/>
  <c r="H57" i="10"/>
  <c r="O57" i="10" s="1"/>
  <c r="I58" i="10" l="1"/>
  <c r="J58" i="10" s="1"/>
  <c r="H58" i="10"/>
  <c r="O58" i="10" s="1"/>
  <c r="K57" i="10"/>
  <c r="K58" i="10" l="1"/>
</calcChain>
</file>

<file path=xl/sharedStrings.xml><?xml version="1.0" encoding="utf-8"?>
<sst xmlns="http://schemas.openxmlformats.org/spreadsheetml/2006/main" count="247" uniqueCount="153">
  <si>
    <t>k</t>
  </si>
  <si>
    <t>V(0,xk)</t>
  </si>
  <si>
    <t>xk</t>
  </si>
  <si>
    <t>v(0,k)</t>
  </si>
  <si>
    <t>i(0,k)</t>
  </si>
  <si>
    <t>v(0,k-1,k)</t>
  </si>
  <si>
    <t>i(0,k-1,k)</t>
  </si>
  <si>
    <t>x</t>
  </si>
  <si>
    <t>A</t>
  </si>
  <si>
    <t>B</t>
  </si>
  <si>
    <t>C</t>
  </si>
  <si>
    <t>h(0,k)</t>
  </si>
  <si>
    <t>Dati in input</t>
  </si>
  <si>
    <t>fattori di sconto</t>
  </si>
  <si>
    <t xml:space="preserve">V (0; x1) </t>
  </si>
  <si>
    <t>v(0,0.5)</t>
  </si>
  <si>
    <t xml:space="preserve">V (0; x2) </t>
  </si>
  <si>
    <t>v(0,1)</t>
  </si>
  <si>
    <t xml:space="preserve">V (0; x3) </t>
  </si>
  <si>
    <t>v(0,1.5)</t>
  </si>
  <si>
    <t>x1</t>
  </si>
  <si>
    <t>x2</t>
  </si>
  <si>
    <t>x3</t>
  </si>
  <si>
    <t>tempi</t>
  </si>
  <si>
    <t>tassi d'interesse su base annua</t>
  </si>
  <si>
    <t>t1</t>
  </si>
  <si>
    <t>i(0,0.5)</t>
  </si>
  <si>
    <t>t2</t>
  </si>
  <si>
    <t>i(0,1)</t>
  </si>
  <si>
    <t>t3</t>
  </si>
  <si>
    <t>i(0,1.5)</t>
  </si>
  <si>
    <t>tassi a termine uniperiodali su base annua</t>
  </si>
  <si>
    <t>i(0,0,0.5)</t>
  </si>
  <si>
    <t>i(0,0.5,1)</t>
  </si>
  <si>
    <t>i(0,1,1.5)</t>
  </si>
  <si>
    <t>Struttura per scadenze dei tassi d’interesse</t>
  </si>
  <si>
    <t>Dati:</t>
  </si>
  <si>
    <t>Scadenze</t>
  </si>
  <si>
    <t>i(t,s)</t>
  </si>
  <si>
    <t>Calcoli:</t>
  </si>
  <si>
    <t>v(t,s)</t>
  </si>
  <si>
    <t>v(t,s-1,s)</t>
  </si>
  <si>
    <t>i(t,s-1,s)</t>
  </si>
  <si>
    <t>i'(t,s)</t>
  </si>
  <si>
    <t>i''(t,s)</t>
  </si>
  <si>
    <t>i'''(t,s)</t>
  </si>
  <si>
    <t>j(t,s)</t>
  </si>
  <si>
    <t>(anni)</t>
  </si>
  <si>
    <t>(annui)</t>
  </si>
  <si>
    <t>(sem.)</t>
  </si>
  <si>
    <t>(trim.)</t>
  </si>
  <si>
    <t>(mens.)</t>
  </si>
  <si>
    <t>(period.)</t>
  </si>
  <si>
    <t>Dati di input</t>
  </si>
  <si>
    <t>V (0; x1)</t>
  </si>
  <si>
    <t>t(giorni)</t>
  </si>
  <si>
    <t>t(anni)</t>
  </si>
  <si>
    <t>X</t>
  </si>
  <si>
    <t>v(0, tk)</t>
  </si>
  <si>
    <t>i(0,tk)</t>
  </si>
  <si>
    <t>i(t,tk-1,tk)</t>
  </si>
  <si>
    <t>V (0; x2)</t>
  </si>
  <si>
    <t>V (0; x3)</t>
  </si>
  <si>
    <t>giorni</t>
  </si>
  <si>
    <t>y</t>
  </si>
  <si>
    <t>k in anni</t>
  </si>
  <si>
    <t>h(0,k-1,k)</t>
  </si>
  <si>
    <t>flusso x</t>
  </si>
  <si>
    <t>Scadenze (anni)</t>
  </si>
  <si>
    <t>Prezzi</t>
  </si>
  <si>
    <t>z</t>
  </si>
  <si>
    <t>Prezzi a pronti</t>
  </si>
  <si>
    <t>Tassi a pronti</t>
  </si>
  <si>
    <t>Prezzi a termine</t>
  </si>
  <si>
    <t>Tassi a termine</t>
  </si>
  <si>
    <t>v</t>
  </si>
  <si>
    <t>alphax</t>
  </si>
  <si>
    <t>alphay</t>
  </si>
  <si>
    <t>alphaz</t>
  </si>
  <si>
    <t>k anni</t>
  </si>
  <si>
    <t>a</t>
  </si>
  <si>
    <t>b</t>
  </si>
  <si>
    <t>D</t>
  </si>
  <si>
    <t>Siano B1 e B2 due ZCB unitari emessi in t=0 con scadenze rispettivamente t1=1 e t2=2 anni e prezzi rispettivamente v(0,1)=0.99 e v(0,2)=0.98. Sia X un titolo con cedola, emesso in t=0, cedola annuale I=5 e scadenza in t2.
a) determinare le unità di B1 e B2 da acquistare per garantirsi lo stesso flusso di pagamenti di X;
b) determinare il prezzo di tale portafoglio.
Supponete ora di poter vendere e comprare i tre titoli sopra descritti.
c) il prezzo di X in t=0 è 106. Cosa fate?
d) il prezzo di X in t=0 è 109. Cosa fate?</t>
  </si>
  <si>
    <t>B1</t>
  </si>
  <si>
    <t>B2</t>
  </si>
  <si>
    <t>scadenze</t>
  </si>
  <si>
    <t>Per replicare il titolo X devo acquistare 5 unità di titoli B1 e 105 unità di titoli B2</t>
  </si>
  <si>
    <t>prezzo</t>
  </si>
  <si>
    <t>106 è minore del prezzo di non arbitraggio (107.9) quindi vendo allo scoperto il portagoglio di ZCB e acquisto il titolo X</t>
  </si>
  <si>
    <t>unità B1</t>
  </si>
  <si>
    <t>unità B2</t>
  </si>
  <si>
    <t>&lt;-</t>
  </si>
  <si>
    <t>arbitraggio immediato</t>
  </si>
  <si>
    <t xml:space="preserve">109 è maggiore del prezzo di non arbitraggio (107.9) quindi vendo allo scoperto il titolo X e acquisto il portagoglio di ZCB </t>
  </si>
  <si>
    <t>E' possibile realizzare un arbitraggio vendendo allo scoperto i tre ZCB ed acquistando il titolo x. Infatti il prezzo di vendita dei tre ZCB è dato da 99+190+270=559. Il titolo x lo posso acquistare al prezzo di 558 realizzando così un guadagno di 1 euro.</t>
  </si>
  <si>
    <t>v(t,tk-1,tk</t>
  </si>
  <si>
    <t>tk</t>
  </si>
  <si>
    <t>tk annuo</t>
  </si>
  <si>
    <t>v(0,tk)</t>
  </si>
  <si>
    <t>v(0,t2,t3)</t>
  </si>
  <si>
    <t>v(0,t1,t3)</t>
  </si>
  <si>
    <t>v(0,t3)/v(0,t1)</t>
  </si>
  <si>
    <t>v(0,t3)</t>
  </si>
  <si>
    <t>v(0,t2,t3)*v(0,t2)</t>
  </si>
  <si>
    <t>-&gt;</t>
  </si>
  <si>
    <t>i(0,t1,t3)</t>
  </si>
  <si>
    <t>I titolo</t>
  </si>
  <si>
    <t>III titolo</t>
  </si>
  <si>
    <t>II titolo</t>
  </si>
  <si>
    <t>Px</t>
  </si>
  <si>
    <t>Py</t>
  </si>
  <si>
    <t>TAN</t>
  </si>
  <si>
    <t>nominale</t>
  </si>
  <si>
    <t>scadenza</t>
  </si>
  <si>
    <t>anno</t>
  </si>
  <si>
    <t>prezzo TCF</t>
  </si>
  <si>
    <t>FLUSSO DEL TCF</t>
  </si>
  <si>
    <t>cedole annue</t>
  </si>
  <si>
    <t>Prezzo</t>
  </si>
  <si>
    <t>Strategia di arbitraggio</t>
  </si>
  <si>
    <t>vendo 2 quote dello ZCB unitario con scadenza in 0.5</t>
  </si>
  <si>
    <t>vendo 102 quote dello ZCB unitario con scadenza in 1</t>
  </si>
  <si>
    <t>acquisto il TCF al prezzo di 99</t>
  </si>
  <si>
    <t>v(0,2)</t>
  </si>
  <si>
    <t>I</t>
  </si>
  <si>
    <t>I+C</t>
  </si>
  <si>
    <t>in 1</t>
  </si>
  <si>
    <t>in 2</t>
  </si>
  <si>
    <t>P2</t>
  </si>
  <si>
    <t>P1</t>
  </si>
  <si>
    <t>quote B1</t>
  </si>
  <si>
    <t>quote B2</t>
  </si>
  <si>
    <t>Vendo allo scoperto il portafogolio replicante e acquisto il titolo x</t>
  </si>
  <si>
    <t>Vendo allo scoperto il titolo x e acquisto il portafoglio replicante</t>
  </si>
  <si>
    <t xml:space="preserve">Si consideri un mercato in cui sono quotati, al tempo t = 0, i seguenti titoli: il TCN a pronti x, che rimborsa 100 euro a 1 anno, al prezzo Px = 97 euro; il TCN a termine y, che rimborsa 100 euro a 2 anni, al prezzo Py = 97.5 euro, pagabile al tempo 1 anno; il TCF biennale a pronti z, con nominale 100 euro e cedola annuale del 4%. Si replichi il flusso di pagamenti del TCF con un portafoglio di α quote del titolo x e β quote del titolo y, e se ne deduca il prezzo Pz che deve avere in modo da impedire che su questo mercato vi siano arbitraggi non rischiosi.
Nell’ipotesi che z sia invece quotato alla pari sul mercato, si costruisca un arbitraggio non rischioso che garantisce un profitto certo immediato di 10 000 euro al tempo zero, avendo chiuso in pareggio le posizioni negli istanti successivi e si indichi l’importo V che occorre investire nel TCF per realizzare l’arbitraggio (con segno “+” se occorre acquistarlo, con segno “−” se occorre venderlo).
</t>
  </si>
  <si>
    <t>TCF</t>
  </si>
  <si>
    <t>RAPPRESENTAZIONE FLUSSI</t>
  </si>
  <si>
    <t>beta</t>
  </si>
  <si>
    <t>alpha</t>
  </si>
  <si>
    <t>Pz</t>
  </si>
  <si>
    <t>Il TCN y è a termine e non sono previsti esborsi monetari in zero</t>
  </si>
  <si>
    <t>Il prezzo di non-arbitraggio trovato in precedenza è maggiore della pari. Quindi, se z è proposto alla pari sul mercato, è possibile realizzare un arbitraggio non rischioso acquistandone una quota e vendendo allo scoperto il portafoglio replicante precedentemente
determinato, realizzando un profitto certo in zero di αPx − 100 e avendo chiuso in pareggio tutte le posizioni a date successive.
Per ealizzare un profitto di 10 000 euro, basta effettuare l’operazione precedente non in quantiàa unitaria, ma con quantità q tale che 
q(αPx − 100) = 10 000
cioè
q=10 000/(αPx − 100)
cioè acquistando q quote del TCF e vendendo allo scoperto q quote del portafoglio replicante. In questo modo il profitto d’arbitraggio
sarà quello rischiesto e il valore del TCF nel portafoglio replicante saràV = 100q</t>
  </si>
  <si>
    <t>q</t>
  </si>
  <si>
    <t>guadagno richiesto</t>
  </si>
  <si>
    <t>V</t>
  </si>
  <si>
    <t>k semestri</t>
  </si>
  <si>
    <t>Si consideri un mercato definito al tempo t = 0 sullo scadenzario t = {t1, t2, t3} = {1, 2, 3} anni; siano trattati sul mercato tre titoli obbligazionari:
· uno zero coupon bond con valore di rimborso x = 100 in t1 e prezzo a pronti di 95.75;
· uno zero coupon bond con valore di rimborso y = 200 in t2 e prezzo a termine, pattuito in t e pagabile in t1, di 188 ;
· uno zero coupon bond con valore di rimborso z = 200 in t3 e prezzo a termine, pattuito in t e pagabile in t1, di 173.5 
Si calcolino le strutture per scadenza dei tassi di interesse a pronti e a termine uniperiodali corrispondenti ai prezzi di mercato osservati in t, esprimendo i tassi su base annua.</t>
  </si>
  <si>
    <t>Siano B1 e B2 gli ZCB unitari emessi in t = 0 con scadenze rispettivamente t1 = 0.5 e t2 = 1 anni e prezzi
rispettivamente v(0; 0.5) = 0.98 e v(0; 1) = 0.96.
(a) Calcolare il valore di non arbitraggio in t = 0 di un coupon bond che ha appena staccato cedola, con valore facciale 100, a cedole semestrali, scadenza 1 anno e tanno anno nominale TAN=4%.
(b) Esibire un arbitraggio nel caso che il prezzo di mercato del coupon bond sia 99.</t>
  </si>
  <si>
    <t>Siano B1 e B2 gli ZCB unitari emessi in t = 0 con scadenze rispettivamente t1 = 1 e t2 = 2 anni e prezzi
rispettivamente v(0; 1) = 0.97 e v(0; 2) = 0.95. Sia x un titolo con cedola, emesso in t = 0, che paga la cedola I = 3 in t1 = 1 e che rimborsa 103 in t2 = 2.
(a) Determinare le quote di B1 e B2 da acquistare per garantirsi lo stesso flusso di pagamenti di x;
(b) Determinare il prezzo del portafoglio replicante.
(c) Il prezzo di mercato di x in t = 0 risulta essere 99. Che cosa fate?
(d) Cosa fate se il prezzo di mercato di x in t = 0 è 102?</t>
  </si>
  <si>
    <t xml:space="preserve">Sul mercato TXRATES, ad un certo istante, sono presenti le seguenti quotazioni:
1. tasso annuo semplice a sei mesi del 2.5%;
2. titolo a cedola fissa semestrale del 4% nominale annuo, con nominale 100 euro, scadenza un anno e prezzo 101.1 euro;
3. contratto a termine, che paga 100 a un anno e mezzo, con prezzo pagabile fra sei mesi di 96.8 euro.
Si calcoli la struttura per scadenza dei tassi a pronti e dei tassi a termine in vigore su questo mercato (tempo in anni, tassi in % e composti in base annua).
In tale mercato, si voglia proporre un contratto a termine, con rimborso di 100 000 euro fra un anno e pagamento del prezzo P fra sei mesi. Che prezzo si deve fissare per evitare arbitraggi non rischiosi?
</t>
  </si>
  <si>
    <t xml:space="preserve">Alla data t = 0, si consideri un mercato con i seguenti titoli:
1. un titolo a cedola nulla, che paga 100 a due anni al prezzo di 92 euro;
2. una rendita francese a rata semestrale di 11 euro e durata 4 semestri, al prezzo di 41.8 euro;
3. un BTP con nominale 100 euro, durata 2 anni, tasso nominale annuo del 4% e quotato alla pari.
Si determini un arbitraggio non rischioso che permetta un prodotto di 10 euro alla data di valutazione, avendo chiuso in pareggio le posizioni ai rimanenti istanti.
Si calcoli infine un prezzo P per il BTP, in modo che in questo mercato non siano possibili arbitraggi non rischiosi.
</t>
  </si>
  <si>
    <t xml:space="preserve">Si consideri alla data odierna un mercato in cui sono quotati:
1. un titolo a cedola nulla con scadenza un anno, nominale 100 euro e prezzo a pronti 97.1 euro;
2. un titolo a cedola nulla con scadenza un anno, nominale 100 euro e prezzo a termine 98.5 euro, pagabile tra sei mesi;
3. un titolo a cedola fissa semestrale, con scadenza un anno e mezzo, quotato alla pari e con tasso nominale annuo 3.10%.
Si determini la struttura per scadenza dei tassi a pronti e a termine in questo mercato.
Si determini quindi in questo mercato il prezzo a termine P, pagabile fra sei mesi, di un contratto che paga 1000 euro fra un anno e 1000 euro fra un anno e mezzo.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</si>
</sst>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 #,##0.00_-;\-&quot;€&quot;\ * #,##0.00_-;_-&quot;€&quot;\ * &quot;-&quot;??_-;_-@_-"/>
    <numFmt numFmtId="43" formatCode="_-* #,##0.00_-;\-* #,##0.00_-;_-* &quot;-&quot;??_-;_-@_-"/>
    <numFmt numFmtId="164" formatCode="0.000"/>
    <numFmt numFmtId="165" formatCode="0.0000"/>
    <numFmt numFmtId="166" formatCode="0.00000"/>
    <numFmt numFmtId="167" formatCode="0.0"/>
    <numFmt numFmtId="168" formatCode="0.000%"/>
    <numFmt numFmtId="169" formatCode="0.0000%"/>
    <numFmt numFmtId="170" formatCode="0.00000%"/>
    <numFmt numFmtId="171" formatCode="0.000000%"/>
    <numFmt numFmtId="172" formatCode="_-* #,##0.0000_-;\-* #,##0.0000_-;_-* &quot;-&quot;??_-;_-@_-"/>
    <numFmt numFmtId="173" formatCode="_-* #,##0.0000_-;\-* #,##0.0000_-;_-* &quot;-&quot;????_-;_-@_-"/>
    <numFmt numFmtId="174" formatCode="_-* #,##0.00000_-;\-* #,##0.00000_-;_-* &quot;-&quot;??_-;_-@_-"/>
    <numFmt numFmtId="175" formatCode="_-* #,##0_-;\-* #,##0_-;_-* &quot;-&quot;??_-;_-@_-"/>
  </numFmts>
  <fonts count="20" x14ac:knownFonts="1">
    <font>
      <sz val="11"/>
      <color theme="1"/>
      <name val="Calibri"/>
      <family val="2"/>
      <scheme val="minor"/>
    </font>
    <font>
      <sz val="11"/>
      <color theme="1"/>
      <name val="Calibri"/>
      <family val="2"/>
      <scheme val="minor"/>
    </font>
    <font>
      <sz val="10"/>
      <name val="Arial"/>
      <family val="2"/>
    </font>
    <font>
      <sz val="14"/>
      <name val="Arial"/>
      <family val="2"/>
    </font>
    <font>
      <b/>
      <i/>
      <sz val="14"/>
      <color indexed="8"/>
      <name val="Calibri"/>
      <family val="2"/>
    </font>
    <font>
      <sz val="14"/>
      <color indexed="8"/>
      <name val="Calibri"/>
      <family val="2"/>
    </font>
    <font>
      <b/>
      <sz val="14"/>
      <color indexed="8"/>
      <name val="Calibri"/>
      <family val="2"/>
    </font>
    <font>
      <sz val="11"/>
      <color indexed="8"/>
      <name val="Calibri"/>
      <family val="2"/>
    </font>
    <font>
      <b/>
      <u/>
      <sz val="11"/>
      <name val="Arial"/>
      <family val="2"/>
    </font>
    <font>
      <sz val="8"/>
      <name val="Arial"/>
      <family val="2"/>
    </font>
    <font>
      <b/>
      <sz val="11"/>
      <name val="Arial"/>
      <family val="2"/>
    </font>
    <font>
      <i/>
      <sz val="8"/>
      <name val="Arial"/>
      <family val="2"/>
    </font>
    <font>
      <b/>
      <sz val="8"/>
      <name val="Arial"/>
      <family val="2"/>
    </font>
    <font>
      <sz val="9"/>
      <color indexed="8"/>
      <name val="Calibri"/>
      <family val="2"/>
    </font>
    <font>
      <b/>
      <sz val="9"/>
      <color indexed="8"/>
      <name val="Calibri"/>
      <family val="2"/>
    </font>
    <font>
      <sz val="12"/>
      <name val="Arial"/>
      <family val="2"/>
    </font>
    <font>
      <sz val="12"/>
      <color theme="1"/>
      <name val="Calibri"/>
      <family val="2"/>
      <scheme val="minor"/>
    </font>
    <font>
      <b/>
      <sz val="12"/>
      <name val="Arial"/>
      <family val="2"/>
    </font>
    <font>
      <sz val="14"/>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43" fontId="7" fillId="0" borderId="0" applyFont="0" applyFill="0" applyBorder="0" applyAlignment="0" applyProtection="0"/>
    <xf numFmtId="9"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228">
    <xf numFmtId="0" fontId="0" fillId="0" borderId="0" xfId="0"/>
    <xf numFmtId="0" fontId="2" fillId="0" borderId="0" xfId="3"/>
    <xf numFmtId="0" fontId="3" fillId="0" borderId="0" xfId="3" applyFont="1"/>
    <xf numFmtId="0" fontId="3" fillId="0" borderId="1" xfId="3" applyFont="1" applyBorder="1"/>
    <xf numFmtId="164" fontId="3" fillId="0" borderId="0" xfId="3" applyNumberFormat="1" applyFont="1"/>
    <xf numFmtId="165" fontId="3" fillId="0" borderId="1" xfId="3" applyNumberFormat="1" applyFont="1" applyBorder="1"/>
    <xf numFmtId="169" fontId="3" fillId="0" borderId="1" xfId="4" applyNumberFormat="1" applyFont="1" applyBorder="1"/>
    <xf numFmtId="166" fontId="3" fillId="0" borderId="1" xfId="4" applyNumberFormat="1" applyFont="1" applyBorder="1"/>
    <xf numFmtId="0" fontId="5" fillId="0" borderId="0" xfId="7" applyFont="1"/>
    <xf numFmtId="10" fontId="3" fillId="0" borderId="0" xfId="4" applyNumberFormat="1" applyFont="1"/>
    <xf numFmtId="0" fontId="8" fillId="2" borderId="0" xfId="3" applyFont="1" applyFill="1" applyAlignment="1"/>
    <xf numFmtId="0" fontId="9" fillId="2" borderId="0" xfId="3" applyFont="1" applyFill="1"/>
    <xf numFmtId="9" fontId="9" fillId="2" borderId="0" xfId="4" applyFont="1" applyFill="1"/>
    <xf numFmtId="172" fontId="9" fillId="2" borderId="0" xfId="10" applyNumberFormat="1" applyFont="1" applyFill="1"/>
    <xf numFmtId="173" fontId="9" fillId="2" borderId="0" xfId="3" applyNumberFormat="1" applyFont="1" applyFill="1"/>
    <xf numFmtId="174" fontId="9" fillId="2" borderId="0" xfId="10" applyNumberFormat="1" applyFont="1" applyFill="1"/>
    <xf numFmtId="167" fontId="9" fillId="2" borderId="0" xfId="3" applyNumberFormat="1" applyFont="1" applyFill="1"/>
    <xf numFmtId="43" fontId="9" fillId="2" borderId="0" xfId="10" applyNumberFormat="1" applyFont="1" applyFill="1"/>
    <xf numFmtId="0" fontId="10" fillId="2" borderId="0" xfId="3" applyFont="1" applyFill="1"/>
    <xf numFmtId="0" fontId="11" fillId="2" borderId="0" xfId="3" applyFont="1" applyFill="1" applyBorder="1" applyAlignment="1">
      <alignment horizontal="center"/>
    </xf>
    <xf numFmtId="0" fontId="12" fillId="2" borderId="0" xfId="3" applyFont="1" applyFill="1"/>
    <xf numFmtId="0" fontId="9" fillId="3" borderId="7" xfId="3" applyFont="1" applyFill="1" applyBorder="1"/>
    <xf numFmtId="166" fontId="9" fillId="3" borderId="0" xfId="3" applyNumberFormat="1" applyFont="1" applyFill="1" applyBorder="1"/>
    <xf numFmtId="10" fontId="9" fillId="3" borderId="0" xfId="4" applyNumberFormat="1" applyFont="1" applyFill="1" applyBorder="1"/>
    <xf numFmtId="10" fontId="9" fillId="3" borderId="6" xfId="4" applyNumberFormat="1" applyFont="1" applyFill="1" applyBorder="1"/>
    <xf numFmtId="165" fontId="9" fillId="3" borderId="0" xfId="3" applyNumberFormat="1" applyFont="1" applyFill="1" applyBorder="1"/>
    <xf numFmtId="10" fontId="9" fillId="2" borderId="0" xfId="3" applyNumberFormat="1" applyFont="1" applyFill="1"/>
    <xf numFmtId="0" fontId="9" fillId="3" borderId="9" xfId="3" applyFont="1" applyFill="1" applyBorder="1"/>
    <xf numFmtId="166" fontId="9" fillId="3" borderId="15" xfId="3" applyNumberFormat="1" applyFont="1" applyFill="1" applyBorder="1"/>
    <xf numFmtId="165" fontId="9" fillId="3" borderId="15" xfId="3" applyNumberFormat="1" applyFont="1" applyFill="1" applyBorder="1"/>
    <xf numFmtId="10" fontId="9" fillId="3" borderId="15" xfId="4" applyNumberFormat="1" applyFont="1" applyFill="1" applyBorder="1"/>
    <xf numFmtId="10" fontId="9" fillId="3" borderId="10" xfId="4" applyNumberFormat="1" applyFont="1" applyFill="1" applyBorder="1"/>
    <xf numFmtId="0" fontId="13" fillId="0" borderId="0" xfId="3" applyFont="1"/>
    <xf numFmtId="165" fontId="13" fillId="0" borderId="0" xfId="3" applyNumberFormat="1" applyFont="1"/>
    <xf numFmtId="168" fontId="13" fillId="0" borderId="0" xfId="4" applyNumberFormat="1" applyFont="1"/>
    <xf numFmtId="0" fontId="14" fillId="0" borderId="0" xfId="3" applyFont="1" applyAlignment="1">
      <alignment horizontal="center"/>
    </xf>
    <xf numFmtId="0" fontId="15" fillId="4" borderId="1" xfId="3" applyFont="1" applyFill="1" applyBorder="1" applyAlignment="1">
      <alignment horizontal="center"/>
    </xf>
    <xf numFmtId="0" fontId="15" fillId="0" borderId="1" xfId="3" applyFont="1" applyBorder="1" applyAlignment="1">
      <alignment horizontal="center"/>
    </xf>
    <xf numFmtId="0" fontId="15" fillId="0" borderId="1" xfId="3" applyFont="1" applyBorder="1"/>
    <xf numFmtId="0" fontId="15" fillId="5" borderId="1" xfId="3" applyFont="1" applyFill="1" applyBorder="1" applyAlignment="1">
      <alignment horizontal="center"/>
    </xf>
    <xf numFmtId="44" fontId="15" fillId="5" borderId="1" xfId="1" applyFont="1" applyFill="1" applyBorder="1"/>
    <xf numFmtId="165" fontId="15" fillId="0" borderId="1" xfId="3" applyNumberFormat="1" applyFont="1" applyBorder="1"/>
    <xf numFmtId="170" fontId="16" fillId="0" borderId="1" xfId="4" applyNumberFormat="1" applyFont="1" applyBorder="1"/>
    <xf numFmtId="170" fontId="15" fillId="0" borderId="1" xfId="3" applyNumberFormat="1" applyFont="1" applyBorder="1"/>
    <xf numFmtId="170" fontId="15" fillId="0" borderId="1" xfId="2" applyNumberFormat="1" applyFont="1" applyBorder="1"/>
    <xf numFmtId="169" fontId="16" fillId="4" borderId="1" xfId="4" applyNumberFormat="1" applyFont="1" applyFill="1" applyBorder="1" applyAlignment="1">
      <alignment horizontal="center"/>
    </xf>
    <xf numFmtId="0" fontId="2" fillId="0" borderId="0" xfId="3" applyAlignment="1">
      <alignment horizontal="center"/>
    </xf>
    <xf numFmtId="0" fontId="15" fillId="5" borderId="1" xfId="3" applyFont="1" applyFill="1" applyBorder="1"/>
    <xf numFmtId="169" fontId="16" fillId="0" borderId="1" xfId="4" applyNumberFormat="1" applyFont="1" applyBorder="1"/>
    <xf numFmtId="168" fontId="15" fillId="0" borderId="1" xfId="2" applyNumberFormat="1" applyFont="1" applyBorder="1"/>
    <xf numFmtId="169" fontId="15" fillId="0" borderId="1" xfId="2" applyNumberFormat="1" applyFont="1" applyBorder="1"/>
    <xf numFmtId="166" fontId="15" fillId="0" borderId="1" xfId="3" applyNumberFormat="1" applyFont="1" applyBorder="1"/>
    <xf numFmtId="0" fontId="15" fillId="5" borderId="5" xfId="3" applyFont="1" applyFill="1" applyBorder="1"/>
    <xf numFmtId="44" fontId="15" fillId="5" borderId="5" xfId="1" applyFont="1" applyFill="1" applyBorder="1"/>
    <xf numFmtId="165" fontId="15" fillId="0" borderId="5" xfId="3" applyNumberFormat="1" applyFont="1" applyBorder="1"/>
    <xf numFmtId="169" fontId="15" fillId="0" borderId="5" xfId="2" applyNumberFormat="1" applyFont="1" applyBorder="1"/>
    <xf numFmtId="166" fontId="15" fillId="0" borderId="5" xfId="3" applyNumberFormat="1" applyFont="1" applyBorder="1"/>
    <xf numFmtId="0" fontId="15" fillId="0" borderId="5" xfId="3" applyFont="1" applyBorder="1"/>
    <xf numFmtId="168" fontId="15" fillId="0" borderId="5" xfId="2" applyNumberFormat="1" applyFont="1" applyBorder="1"/>
    <xf numFmtId="0" fontId="15" fillId="0" borderId="0" xfId="3" applyFont="1"/>
    <xf numFmtId="0" fontId="15" fillId="0" borderId="14" xfId="3" applyFont="1" applyBorder="1"/>
    <xf numFmtId="0" fontId="15" fillId="4" borderId="1" xfId="3" applyFont="1" applyFill="1" applyBorder="1"/>
    <xf numFmtId="0" fontId="2" fillId="0" borderId="1" xfId="3" applyBorder="1"/>
    <xf numFmtId="0" fontId="15" fillId="0" borderId="0" xfId="3" applyFont="1" applyAlignment="1">
      <alignment horizontal="center"/>
    </xf>
    <xf numFmtId="165" fontId="15" fillId="0" borderId="1" xfId="0" applyNumberFormat="1" applyFont="1" applyBorder="1"/>
    <xf numFmtId="169" fontId="15" fillId="0" borderId="1" xfId="0" applyNumberFormat="1" applyFont="1" applyBorder="1"/>
    <xf numFmtId="164" fontId="15" fillId="0" borderId="1" xfId="3" applyNumberFormat="1" applyFont="1" applyBorder="1"/>
    <xf numFmtId="2" fontId="15" fillId="0" borderId="1" xfId="3" applyNumberFormat="1" applyFont="1" applyBorder="1"/>
    <xf numFmtId="169" fontId="5" fillId="3" borderId="1" xfId="9" applyNumberFormat="1" applyFont="1" applyFill="1" applyBorder="1"/>
    <xf numFmtId="171" fontId="5" fillId="3" borderId="1" xfId="9" applyNumberFormat="1" applyFont="1" applyFill="1" applyBorder="1"/>
    <xf numFmtId="43" fontId="5" fillId="3" borderId="1" xfId="3" applyNumberFormat="1" applyFont="1" applyFill="1" applyBorder="1"/>
    <xf numFmtId="0" fontId="9" fillId="3" borderId="0" xfId="3" applyFont="1" applyFill="1"/>
    <xf numFmtId="0" fontId="14" fillId="3" borderId="1" xfId="3" applyFont="1" applyFill="1" applyBorder="1"/>
    <xf numFmtId="0" fontId="14" fillId="3" borderId="3" xfId="3" applyFont="1" applyFill="1" applyBorder="1"/>
    <xf numFmtId="164" fontId="13" fillId="3" borderId="1" xfId="3" applyNumberFormat="1" applyFont="1" applyFill="1" applyBorder="1"/>
    <xf numFmtId="169" fontId="13" fillId="3" borderId="10" xfId="4" applyNumberFormat="1" applyFont="1" applyFill="1" applyBorder="1"/>
    <xf numFmtId="169" fontId="13" fillId="3" borderId="3" xfId="4" applyNumberFormat="1" applyFont="1" applyFill="1" applyBorder="1"/>
    <xf numFmtId="164" fontId="13" fillId="3" borderId="13" xfId="3" applyNumberFormat="1" applyFont="1" applyFill="1" applyBorder="1"/>
    <xf numFmtId="0" fontId="3" fillId="4" borderId="1" xfId="3" applyFont="1" applyFill="1" applyBorder="1"/>
    <xf numFmtId="0" fontId="3" fillId="4" borderId="1" xfId="3" applyFont="1" applyFill="1" applyBorder="1" applyAlignment="1">
      <alignment horizontal="center"/>
    </xf>
    <xf numFmtId="0" fontId="3" fillId="5" borderId="1" xfId="3" applyFont="1" applyFill="1" applyBorder="1"/>
    <xf numFmtId="0" fontId="18" fillId="0" borderId="0" xfId="0" applyFont="1"/>
    <xf numFmtId="0" fontId="18" fillId="0" borderId="1" xfId="0" applyFont="1" applyBorder="1"/>
    <xf numFmtId="0" fontId="18" fillId="4" borderId="1" xfId="0" applyFont="1" applyFill="1" applyBorder="1"/>
    <xf numFmtId="0" fontId="18" fillId="5" borderId="1" xfId="0" applyFont="1" applyFill="1" applyBorder="1"/>
    <xf numFmtId="169" fontId="18" fillId="0" borderId="1" xfId="2" applyNumberFormat="1" applyFont="1" applyBorder="1"/>
    <xf numFmtId="0" fontId="18" fillId="0" borderId="1" xfId="0" applyFont="1" applyBorder="1" applyAlignment="1">
      <alignment horizontal="center"/>
    </xf>
    <xf numFmtId="165" fontId="18" fillId="0" borderId="1" xfId="0" applyNumberFormat="1" applyFont="1" applyBorder="1"/>
    <xf numFmtId="0" fontId="18" fillId="5" borderId="1" xfId="0" applyFont="1" applyFill="1" applyBorder="1" applyAlignment="1">
      <alignment horizontal="center"/>
    </xf>
    <xf numFmtId="0" fontId="18" fillId="0" borderId="0" xfId="0" applyFont="1" applyAlignment="1">
      <alignment horizontal="left" vertical="top" wrapText="1"/>
    </xf>
    <xf numFmtId="0" fontId="3" fillId="3" borderId="1" xfId="3" applyFont="1" applyFill="1" applyBorder="1"/>
    <xf numFmtId="172" fontId="3" fillId="3" borderId="1" xfId="3" applyNumberFormat="1" applyFont="1" applyFill="1" applyBorder="1"/>
    <xf numFmtId="164" fontId="15" fillId="4" borderId="1" xfId="0" applyNumberFormat="1" applyFont="1" applyFill="1" applyBorder="1" applyAlignment="1">
      <alignment horizontal="center"/>
    </xf>
    <xf numFmtId="0" fontId="15" fillId="4" borderId="1" xfId="0" applyFont="1" applyFill="1" applyBorder="1"/>
    <xf numFmtId="2" fontId="15" fillId="4" borderId="1" xfId="2" applyNumberFormat="1" applyFont="1" applyFill="1" applyBorder="1"/>
    <xf numFmtId="165" fontId="15" fillId="4" borderId="1" xfId="0" applyNumberFormat="1" applyFont="1" applyFill="1" applyBorder="1"/>
    <xf numFmtId="165" fontId="15" fillId="4" borderId="1" xfId="2" applyNumberFormat="1" applyFont="1" applyFill="1" applyBorder="1"/>
    <xf numFmtId="2" fontId="15" fillId="4" borderId="1" xfId="0" applyNumberFormat="1" applyFont="1" applyFill="1" applyBorder="1"/>
    <xf numFmtId="0" fontId="17" fillId="5" borderId="1" xfId="0" applyFont="1" applyFill="1" applyBorder="1" applyAlignment="1">
      <alignment horizontal="center"/>
    </xf>
    <xf numFmtId="0" fontId="15" fillId="0" borderId="1" xfId="3" applyFont="1" applyFill="1" applyBorder="1"/>
    <xf numFmtId="0" fontId="17" fillId="6" borderId="1" xfId="0" applyFont="1" applyFill="1" applyBorder="1" applyAlignment="1">
      <alignment horizontal="center"/>
    </xf>
    <xf numFmtId="0" fontId="15" fillId="6" borderId="1" xfId="3" applyFont="1" applyFill="1" applyBorder="1"/>
    <xf numFmtId="0" fontId="3" fillId="5" borderId="1" xfId="3" applyFont="1" applyFill="1" applyBorder="1" applyAlignment="1">
      <alignment horizontal="center"/>
    </xf>
    <xf numFmtId="44" fontId="3" fillId="4" borderId="1" xfId="5" applyFont="1" applyFill="1" applyBorder="1"/>
    <xf numFmtId="0" fontId="3" fillId="6" borderId="1" xfId="3" applyFont="1" applyFill="1" applyBorder="1" applyAlignment="1">
      <alignment horizontal="center"/>
    </xf>
    <xf numFmtId="0" fontId="15" fillId="6" borderId="1" xfId="3" applyFont="1" applyFill="1" applyBorder="1" applyAlignment="1">
      <alignment horizontal="center"/>
    </xf>
    <xf numFmtId="43" fontId="5" fillId="0" borderId="1" xfId="8" applyNumberFormat="1" applyFont="1" applyFill="1" applyBorder="1"/>
    <xf numFmtId="0" fontId="6" fillId="4" borderId="1" xfId="6" applyFont="1" applyFill="1" applyBorder="1" applyAlignment="1">
      <alignment horizontal="right"/>
    </xf>
    <xf numFmtId="0" fontId="5" fillId="6" borderId="2" xfId="7" applyFont="1" applyFill="1" applyBorder="1"/>
    <xf numFmtId="0" fontId="6" fillId="6" borderId="3" xfId="7" applyFont="1" applyFill="1" applyBorder="1" applyAlignment="1"/>
    <xf numFmtId="0" fontId="6" fillId="6" borderId="2" xfId="7" applyFont="1" applyFill="1" applyBorder="1"/>
    <xf numFmtId="0" fontId="6" fillId="6" borderId="3" xfId="7" applyFont="1" applyFill="1" applyBorder="1"/>
    <xf numFmtId="43" fontId="5" fillId="0" borderId="1" xfId="8" applyNumberFormat="1" applyFont="1" applyFill="1" applyBorder="1" applyAlignment="1"/>
    <xf numFmtId="0" fontId="6" fillId="6" borderId="1" xfId="6" applyFont="1" applyFill="1" applyBorder="1" applyAlignment="1">
      <alignment horizontal="right"/>
    </xf>
    <xf numFmtId="0" fontId="3" fillId="6" borderId="1" xfId="3" applyFont="1" applyFill="1" applyBorder="1"/>
    <xf numFmtId="169" fontId="3" fillId="3" borderId="1" xfId="2" applyNumberFormat="1" applyFont="1" applyFill="1" applyBorder="1"/>
    <xf numFmtId="169" fontId="3" fillId="0" borderId="1" xfId="2" applyNumberFormat="1" applyFont="1" applyBorder="1"/>
    <xf numFmtId="0" fontId="6" fillId="6" borderId="1" xfId="7" applyFont="1" applyFill="1" applyBorder="1" applyAlignment="1">
      <alignment horizontal="center"/>
    </xf>
    <xf numFmtId="0" fontId="11" fillId="6" borderId="14" xfId="3" applyFont="1" applyFill="1" applyBorder="1" applyAlignment="1">
      <alignment horizontal="center"/>
    </xf>
    <xf numFmtId="0" fontId="11" fillId="6" borderId="12" xfId="3" applyFont="1" applyFill="1" applyBorder="1" applyAlignment="1">
      <alignment horizontal="center"/>
    </xf>
    <xf numFmtId="0" fontId="9" fillId="6" borderId="11" xfId="3" applyFont="1" applyFill="1" applyBorder="1" applyAlignment="1">
      <alignment horizontal="center"/>
    </xf>
    <xf numFmtId="0" fontId="9" fillId="6" borderId="3" xfId="3" applyFont="1" applyFill="1" applyBorder="1" applyAlignment="1">
      <alignment horizontal="center"/>
    </xf>
    <xf numFmtId="0" fontId="12" fillId="4" borderId="4" xfId="3" applyFont="1" applyFill="1" applyBorder="1"/>
    <xf numFmtId="0" fontId="12" fillId="4" borderId="7" xfId="3" applyFont="1" applyFill="1" applyBorder="1"/>
    <xf numFmtId="0" fontId="12" fillId="4" borderId="9" xfId="3" applyFont="1" applyFill="1" applyBorder="1"/>
    <xf numFmtId="10" fontId="9" fillId="0" borderId="5" xfId="4" applyNumberFormat="1" applyFont="1" applyFill="1" applyBorder="1"/>
    <xf numFmtId="10" fontId="9" fillId="0" borderId="8" xfId="4" applyNumberFormat="1" applyFont="1" applyFill="1" applyBorder="1"/>
    <xf numFmtId="10" fontId="9" fillId="0" borderId="13" xfId="4" applyNumberFormat="1" applyFont="1" applyFill="1" applyBorder="1"/>
    <xf numFmtId="0" fontId="9" fillId="5" borderId="4" xfId="3" applyFont="1" applyFill="1" applyBorder="1" applyAlignment="1">
      <alignment horizontal="center"/>
    </xf>
    <xf numFmtId="0" fontId="11" fillId="5" borderId="12" xfId="3" applyFont="1" applyFill="1" applyBorder="1" applyAlignment="1">
      <alignment horizontal="center"/>
    </xf>
    <xf numFmtId="0" fontId="9" fillId="5" borderId="12" xfId="3" applyFont="1" applyFill="1" applyBorder="1" applyAlignment="1">
      <alignment horizontal="center"/>
    </xf>
    <xf numFmtId="0" fontId="9" fillId="5" borderId="2" xfId="3" applyFont="1" applyFill="1" applyBorder="1" applyAlignment="1">
      <alignment horizontal="center"/>
    </xf>
    <xf numFmtId="0" fontId="13" fillId="4" borderId="1" xfId="3" applyFont="1" applyFill="1" applyBorder="1"/>
    <xf numFmtId="0" fontId="13" fillId="0" borderId="1" xfId="3" applyFont="1" applyFill="1" applyBorder="1"/>
    <xf numFmtId="0" fontId="14" fillId="5" borderId="2" xfId="3" applyFont="1" applyFill="1" applyBorder="1" applyAlignment="1">
      <alignment horizontal="center"/>
    </xf>
    <xf numFmtId="0" fontId="13" fillId="4" borderId="13" xfId="3" applyFont="1" applyFill="1" applyBorder="1"/>
    <xf numFmtId="0" fontId="14" fillId="6" borderId="1" xfId="3" applyFont="1" applyFill="1" applyBorder="1" applyAlignment="1">
      <alignment horizontal="center"/>
    </xf>
    <xf numFmtId="0" fontId="14" fillId="6" borderId="3" xfId="3" applyFont="1" applyFill="1" applyBorder="1" applyAlignment="1">
      <alignment horizontal="center"/>
    </xf>
    <xf numFmtId="0" fontId="14" fillId="5" borderId="1" xfId="3" applyFont="1" applyFill="1" applyBorder="1" applyAlignment="1">
      <alignment horizontal="center"/>
    </xf>
    <xf numFmtId="0" fontId="13" fillId="4" borderId="3" xfId="3" applyFont="1" applyFill="1" applyBorder="1"/>
    <xf numFmtId="165" fontId="13" fillId="3" borderId="1" xfId="3" applyNumberFormat="1" applyFont="1" applyFill="1" applyBorder="1"/>
    <xf numFmtId="165" fontId="13" fillId="3" borderId="13" xfId="3" applyNumberFormat="1" applyFont="1" applyFill="1" applyBorder="1"/>
    <xf numFmtId="0" fontId="0" fillId="0" borderId="0" xfId="0" applyFill="1" applyBorder="1"/>
    <xf numFmtId="0" fontId="18" fillId="6" borderId="1" xfId="0" applyFont="1" applyFill="1" applyBorder="1"/>
    <xf numFmtId="0" fontId="18" fillId="6" borderId="1" xfId="0" applyFont="1" applyFill="1" applyBorder="1" applyAlignment="1">
      <alignment horizontal="center"/>
    </xf>
    <xf numFmtId="0" fontId="18" fillId="0" borderId="0" xfId="0" applyFont="1" applyBorder="1" applyAlignment="1">
      <alignment horizontal="center" vertical="center"/>
    </xf>
    <xf numFmtId="0" fontId="18" fillId="0" borderId="0" xfId="0" applyFont="1" applyBorder="1" applyAlignment="1">
      <alignment horizontal="left" vertical="center" wrapText="1"/>
    </xf>
    <xf numFmtId="0" fontId="18" fillId="0" borderId="1" xfId="0" applyFont="1" applyBorder="1" applyAlignment="1">
      <alignment horizontal="left" vertical="center" wrapText="1"/>
    </xf>
    <xf numFmtId="0" fontId="18" fillId="0" borderId="13" xfId="0" applyFont="1" applyBorder="1"/>
    <xf numFmtId="0" fontId="18" fillId="0" borderId="10" xfId="0" applyFont="1" applyBorder="1"/>
    <xf numFmtId="0" fontId="18" fillId="0" borderId="3" xfId="0" applyFont="1" applyBorder="1"/>
    <xf numFmtId="0" fontId="19" fillId="0" borderId="1" xfId="0" applyFont="1" applyBorder="1" applyAlignment="1">
      <alignment horizontal="center" vertical="center"/>
    </xf>
    <xf numFmtId="172" fontId="15" fillId="0" borderId="1" xfId="11" applyNumberFormat="1" applyFont="1" applyBorder="1"/>
    <xf numFmtId="0" fontId="18" fillId="0" borderId="0" xfId="0" applyFont="1" applyAlignment="1">
      <alignment vertical="top" wrapText="1"/>
    </xf>
    <xf numFmtId="0" fontId="18" fillId="0" borderId="7" xfId="0" applyFont="1" applyBorder="1" applyAlignment="1">
      <alignment vertical="top" wrapText="1"/>
    </xf>
    <xf numFmtId="0" fontId="18" fillId="0" borderId="0" xfId="0" applyFont="1" applyBorder="1" applyAlignment="1">
      <alignment vertical="top" wrapText="1"/>
    </xf>
    <xf numFmtId="0" fontId="18" fillId="0" borderId="1" xfId="0" applyFont="1" applyFill="1" applyBorder="1"/>
    <xf numFmtId="0" fontId="18" fillId="0" borderId="0" xfId="0" applyFont="1" applyFill="1" applyBorder="1" applyAlignment="1">
      <alignment horizontal="center"/>
    </xf>
    <xf numFmtId="0" fontId="18" fillId="0" borderId="0" xfId="0" applyFont="1" applyFill="1" applyBorder="1"/>
    <xf numFmtId="169" fontId="18" fillId="0" borderId="0" xfId="2" applyNumberFormat="1" applyFont="1" applyFill="1" applyBorder="1"/>
    <xf numFmtId="44" fontId="18" fillId="0" borderId="1" xfId="1" applyFont="1" applyFill="1" applyBorder="1"/>
    <xf numFmtId="0" fontId="5" fillId="0" borderId="0" xfId="3" applyFont="1"/>
    <xf numFmtId="0" fontId="5" fillId="4" borderId="1" xfId="3" applyFont="1" applyFill="1" applyBorder="1"/>
    <xf numFmtId="0" fontId="5" fillId="0" borderId="1" xfId="3" applyFont="1" applyFill="1" applyBorder="1"/>
    <xf numFmtId="0" fontId="6" fillId="5" borderId="2" xfId="3" applyFont="1" applyFill="1" applyBorder="1" applyAlignment="1">
      <alignment horizontal="center"/>
    </xf>
    <xf numFmtId="0" fontId="6" fillId="6" borderId="1" xfId="3" applyFont="1" applyFill="1" applyBorder="1" applyAlignment="1">
      <alignment horizontal="center"/>
    </xf>
    <xf numFmtId="0" fontId="6" fillId="6" borderId="3" xfId="3" applyFont="1" applyFill="1" applyBorder="1" applyAlignment="1">
      <alignment horizontal="center"/>
    </xf>
    <xf numFmtId="165" fontId="5" fillId="3" borderId="1" xfId="3" applyNumberFormat="1" applyFont="1" applyFill="1" applyBorder="1"/>
    <xf numFmtId="0" fontId="6" fillId="3" borderId="1" xfId="3" applyFont="1" applyFill="1" applyBorder="1"/>
    <xf numFmtId="0" fontId="6" fillId="3" borderId="3" xfId="3" applyFont="1" applyFill="1" applyBorder="1"/>
    <xf numFmtId="164" fontId="5" fillId="3" borderId="1" xfId="3" applyNumberFormat="1" applyFont="1" applyFill="1" applyBorder="1"/>
    <xf numFmtId="169" fontId="5" fillId="3" borderId="10" xfId="4" applyNumberFormat="1" applyFont="1" applyFill="1" applyBorder="1"/>
    <xf numFmtId="169" fontId="5" fillId="3" borderId="3" xfId="4" applyNumberFormat="1" applyFont="1" applyFill="1" applyBorder="1"/>
    <xf numFmtId="0" fontId="5" fillId="4" borderId="13" xfId="3" applyFont="1" applyFill="1" applyBorder="1"/>
    <xf numFmtId="164" fontId="5" fillId="3" borderId="13" xfId="3" applyNumberFormat="1" applyFont="1" applyFill="1" applyBorder="1"/>
    <xf numFmtId="0" fontId="6" fillId="0" borderId="0" xfId="3" applyFont="1" applyAlignment="1">
      <alignment horizontal="center"/>
    </xf>
    <xf numFmtId="172" fontId="5" fillId="3" borderId="10" xfId="11" applyNumberFormat="1" applyFont="1" applyFill="1" applyBorder="1"/>
    <xf numFmtId="0" fontId="0" fillId="0" borderId="1" xfId="0" applyBorder="1"/>
    <xf numFmtId="0" fontId="18" fillId="0" borderId="0" xfId="0" quotePrefix="1" applyFont="1"/>
    <xf numFmtId="165" fontId="18" fillId="0" borderId="0" xfId="0" applyNumberFormat="1" applyFont="1"/>
    <xf numFmtId="9" fontId="18" fillId="4" borderId="1" xfId="0" applyNumberFormat="1" applyFont="1" applyFill="1" applyBorder="1"/>
    <xf numFmtId="0" fontId="0" fillId="0" borderId="0" xfId="0" applyAlignment="1">
      <alignment horizontal="center"/>
    </xf>
    <xf numFmtId="0" fontId="0" fillId="0" borderId="0" xfId="0" applyBorder="1" applyAlignment="1"/>
    <xf numFmtId="0" fontId="0" fillId="0" borderId="7" xfId="0" applyBorder="1" applyAlignment="1"/>
    <xf numFmtId="0" fontId="18" fillId="0" borderId="0" xfId="0" applyFont="1" applyAlignment="1">
      <alignment horizontal="center"/>
    </xf>
    <xf numFmtId="0" fontId="18" fillId="0" borderId="4" xfId="0" applyFont="1" applyBorder="1"/>
    <xf numFmtId="0" fontId="18" fillId="0" borderId="11" xfId="0" applyFont="1" applyBorder="1"/>
    <xf numFmtId="0" fontId="18" fillId="0" borderId="2" xfId="0" applyFont="1" applyBorder="1"/>
    <xf numFmtId="0" fontId="18" fillId="0" borderId="9" xfId="0" applyFont="1" applyBorder="1"/>
    <xf numFmtId="43" fontId="18" fillId="4" borderId="1" xfId="11" applyFont="1" applyFill="1" applyBorder="1"/>
    <xf numFmtId="44" fontId="18" fillId="0" borderId="1" xfId="1" applyFont="1" applyBorder="1"/>
    <xf numFmtId="175" fontId="18" fillId="0" borderId="1" xfId="11" applyNumberFormat="1" applyFont="1" applyBorder="1"/>
    <xf numFmtId="0" fontId="18" fillId="0" borderId="0" xfId="0" applyFont="1" applyAlignment="1">
      <alignment vertical="top"/>
    </xf>
    <xf numFmtId="0" fontId="18" fillId="6" borderId="5" xfId="0" applyFont="1" applyFill="1" applyBorder="1"/>
    <xf numFmtId="44" fontId="18" fillId="0" borderId="5" xfId="1" applyFont="1" applyBorder="1"/>
    <xf numFmtId="0" fontId="0" fillId="0" borderId="1" xfId="0" applyBorder="1" applyAlignment="1">
      <alignment horizontal="center" vertical="center"/>
    </xf>
    <xf numFmtId="0" fontId="19" fillId="5" borderId="1" xfId="0" applyFont="1" applyFill="1" applyBorder="1" applyAlignment="1">
      <alignment horizontal="center"/>
    </xf>
    <xf numFmtId="0" fontId="18" fillId="5" borderId="1" xfId="0" applyFont="1" applyFill="1" applyBorder="1" applyAlignment="1">
      <alignment vertical="top"/>
    </xf>
    <xf numFmtId="0" fontId="18" fillId="4" borderId="1" xfId="0" applyFont="1" applyFill="1" applyBorder="1" applyAlignment="1">
      <alignment vertical="top"/>
    </xf>
    <xf numFmtId="2" fontId="18" fillId="0" borderId="1" xfId="0" applyNumberFormat="1" applyFont="1" applyBorder="1" applyAlignment="1">
      <alignment vertical="top"/>
    </xf>
    <xf numFmtId="44" fontId="18" fillId="0" borderId="1" xfId="1" applyFont="1" applyBorder="1" applyAlignment="1">
      <alignment vertical="top"/>
    </xf>
    <xf numFmtId="0" fontId="18" fillId="6" borderId="1" xfId="0" applyFont="1" applyFill="1" applyBorder="1" applyAlignment="1">
      <alignment vertical="top"/>
    </xf>
    <xf numFmtId="165" fontId="3" fillId="4" borderId="1" xfId="3" applyNumberFormat="1" applyFont="1" applyFill="1" applyBorder="1" applyAlignment="1">
      <alignment horizontal="center"/>
    </xf>
    <xf numFmtId="0" fontId="3" fillId="0" borderId="0" xfId="3" applyFont="1" applyAlignment="1">
      <alignment horizontal="left" vertical="top" wrapText="1"/>
    </xf>
    <xf numFmtId="0" fontId="4" fillId="5" borderId="1" xfId="6" applyFont="1" applyFill="1" applyBorder="1" applyAlignment="1">
      <alignment horizontal="center"/>
    </xf>
    <xf numFmtId="0" fontId="14" fillId="5" borderId="2" xfId="3" applyFont="1" applyFill="1" applyBorder="1" applyAlignment="1">
      <alignment horizontal="center"/>
    </xf>
    <xf numFmtId="0" fontId="14" fillId="5" borderId="3" xfId="3" applyFont="1" applyFill="1" applyBorder="1" applyAlignment="1">
      <alignment horizontal="center"/>
    </xf>
    <xf numFmtId="0" fontId="6" fillId="5" borderId="2" xfId="3" applyFont="1" applyFill="1" applyBorder="1" applyAlignment="1">
      <alignment horizontal="center"/>
    </xf>
    <xf numFmtId="0" fontId="6" fillId="5" borderId="3" xfId="3" applyFont="1" applyFill="1" applyBorder="1" applyAlignment="1">
      <alignment horizontal="center"/>
    </xf>
    <xf numFmtId="0" fontId="18" fillId="0" borderId="1" xfId="0" applyFont="1" applyBorder="1" applyAlignment="1">
      <alignment horizontal="left" vertical="top" wrapText="1"/>
    </xf>
    <xf numFmtId="0" fontId="18" fillId="0" borderId="1" xfId="0" applyFont="1" applyBorder="1" applyAlignment="1">
      <alignment horizontal="left"/>
    </xf>
    <xf numFmtId="0" fontId="18" fillId="6" borderId="2" xfId="0" applyFont="1" applyFill="1" applyBorder="1" applyAlignment="1">
      <alignment horizontal="center"/>
    </xf>
    <xf numFmtId="0" fontId="18" fillId="6" borderId="11" xfId="0" applyFont="1" applyFill="1" applyBorder="1" applyAlignment="1">
      <alignment horizontal="center"/>
    </xf>
    <xf numFmtId="0" fontId="18" fillId="6" borderId="1" xfId="0" applyFont="1" applyFill="1" applyBorder="1" applyAlignment="1">
      <alignment horizontal="center"/>
    </xf>
    <xf numFmtId="0" fontId="18" fillId="0" borderId="2" xfId="0" applyFont="1" applyBorder="1" applyAlignment="1">
      <alignment horizontal="left"/>
    </xf>
    <xf numFmtId="0" fontId="18" fillId="0" borderId="0" xfId="0" applyFont="1" applyAlignment="1">
      <alignment horizontal="left" vertical="top" wrapText="1"/>
    </xf>
    <xf numFmtId="0" fontId="19" fillId="0" borderId="5" xfId="0" applyFont="1" applyBorder="1" applyAlignment="1">
      <alignment horizontal="center" vertical="center"/>
    </xf>
    <xf numFmtId="0" fontId="19" fillId="0" borderId="8" xfId="0" applyFont="1" applyBorder="1" applyAlignment="1">
      <alignment horizontal="center" vertical="center"/>
    </xf>
    <xf numFmtId="0" fontId="19" fillId="0" borderId="13" xfId="0" applyFont="1" applyBorder="1" applyAlignment="1">
      <alignment horizontal="center" vertical="center"/>
    </xf>
    <xf numFmtId="0" fontId="18" fillId="0" borderId="3" xfId="0" applyFont="1" applyBorder="1" applyAlignment="1">
      <alignment horizontal="left" vertical="top" wrapText="1"/>
    </xf>
    <xf numFmtId="0" fontId="18" fillId="0" borderId="0" xfId="0" applyFont="1" applyAlignment="1">
      <alignment horizontal="left"/>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xf>
    <xf numFmtId="0" fontId="18" fillId="0" borderId="1" xfId="0" applyFont="1" applyBorder="1" applyAlignment="1">
      <alignment horizontal="left" vertical="top"/>
    </xf>
    <xf numFmtId="0" fontId="0" fillId="0" borderId="1" xfId="0" applyBorder="1" applyAlignment="1">
      <alignment horizontal="center" vertical="center"/>
    </xf>
    <xf numFmtId="0" fontId="18" fillId="5" borderId="1" xfId="0" applyFont="1" applyFill="1" applyBorder="1" applyAlignment="1">
      <alignment horizontal="center" vertical="top"/>
    </xf>
    <xf numFmtId="0" fontId="18" fillId="0" borderId="0" xfId="0" applyFont="1" applyAlignment="1">
      <alignment horizontal="left" vertical="top"/>
    </xf>
  </cellXfs>
  <cellStyles count="12">
    <cellStyle name="Migliaia" xfId="11" builtinId="3"/>
    <cellStyle name="Migliaia 2" xfId="10"/>
    <cellStyle name="Migliaia 3" xfId="8"/>
    <cellStyle name="Normal 2" xfId="6"/>
    <cellStyle name="Normale" xfId="0" builtinId="0"/>
    <cellStyle name="Normale 2" xfId="3"/>
    <cellStyle name="Normale 3" xfId="7"/>
    <cellStyle name="Percentuale" xfId="2" builtinId="5"/>
    <cellStyle name="Percentuale 2" xfId="4"/>
    <cellStyle name="Percentuale 3" xfId="9"/>
    <cellStyle name="Valuta" xfId="1" builtinId="4"/>
    <cellStyle name="Valuta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314324</xdr:colOff>
      <xdr:row>0</xdr:row>
      <xdr:rowOff>142875</xdr:rowOff>
    </xdr:from>
    <xdr:ext cx="8048625" cy="1470146"/>
    <xdr:sp macro="" textlink="">
      <xdr:nvSpPr>
        <xdr:cNvPr id="2" name="CasellaDiTesto 1"/>
        <xdr:cNvSpPr txBox="1"/>
      </xdr:nvSpPr>
      <xdr:spPr>
        <a:xfrm>
          <a:off x="314324" y="142875"/>
          <a:ext cx="8048625" cy="1470146"/>
        </a:xfrm>
        <a:prstGeom prst="rect">
          <a:avLst/>
        </a:prstGeom>
        <a:solidFill>
          <a:schemeClr val="bg1"/>
        </a:solid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100">
              <a:solidFill>
                <a:schemeClr val="tx1"/>
              </a:solidFill>
              <a:effectLst/>
              <a:latin typeface="+mn-lt"/>
              <a:ea typeface="+mn-ea"/>
              <a:cs typeface="+mn-cs"/>
            </a:rPr>
            <a:t>Siano V (0; x</a:t>
          </a:r>
          <a:r>
            <a:rPr lang="it-IT" sz="1100" baseline="-25000">
              <a:solidFill>
                <a:schemeClr val="tx1"/>
              </a:solidFill>
              <a:effectLst/>
              <a:latin typeface="+mn-lt"/>
              <a:ea typeface="+mn-ea"/>
              <a:cs typeface="+mn-cs"/>
            </a:rPr>
            <a:t>1</a:t>
          </a:r>
          <a:r>
            <a:rPr lang="it-IT" sz="1100">
              <a:solidFill>
                <a:schemeClr val="tx1"/>
              </a:solidFill>
              <a:effectLst/>
              <a:latin typeface="+mn-lt"/>
              <a:ea typeface="+mn-ea"/>
              <a:cs typeface="+mn-cs"/>
            </a:rPr>
            <a:t>) = 99.96 euro, V (0; x</a:t>
          </a:r>
          <a:r>
            <a:rPr lang="it-IT" sz="1100" baseline="-25000">
              <a:solidFill>
                <a:schemeClr val="tx1"/>
              </a:solidFill>
              <a:effectLst/>
              <a:latin typeface="+mn-lt"/>
              <a:ea typeface="+mn-ea"/>
              <a:cs typeface="+mn-cs"/>
            </a:rPr>
            <a:t>2</a:t>
          </a:r>
          <a:r>
            <a:rPr lang="it-IT" sz="1100">
              <a:solidFill>
                <a:schemeClr val="tx1"/>
              </a:solidFill>
              <a:effectLst/>
              <a:latin typeface="+mn-lt"/>
              <a:ea typeface="+mn-ea"/>
              <a:cs typeface="+mn-cs"/>
            </a:rPr>
            <a:t>) = 190.25 euro e V (0; x</a:t>
          </a:r>
          <a:r>
            <a:rPr lang="it-IT" sz="1100" baseline="-25000">
              <a:solidFill>
                <a:schemeClr val="tx1"/>
              </a:solidFill>
              <a:effectLst/>
              <a:latin typeface="+mn-lt"/>
              <a:ea typeface="+mn-ea"/>
              <a:cs typeface="+mn-cs"/>
            </a:rPr>
            <a:t>3</a:t>
          </a:r>
          <a:r>
            <a:rPr lang="it-IT" sz="1100">
              <a:solidFill>
                <a:schemeClr val="tx1"/>
              </a:solidFill>
              <a:effectLst/>
              <a:latin typeface="+mn-lt"/>
              <a:ea typeface="+mn-ea"/>
              <a:cs typeface="+mn-cs"/>
            </a:rPr>
            <a:t>) = 270.50 euro i</a:t>
          </a:r>
        </a:p>
        <a:p>
          <a:r>
            <a:rPr lang="it-IT" sz="1100">
              <a:solidFill>
                <a:schemeClr val="tx1"/>
              </a:solidFill>
              <a:effectLst/>
              <a:latin typeface="+mn-lt"/>
              <a:ea typeface="+mn-ea"/>
              <a:cs typeface="+mn-cs"/>
            </a:rPr>
            <a:t>prezzi di mercato al tempo t = 0 di tre zero coupon bond con valori di rimborso x1 = 100 euro,</a:t>
          </a:r>
        </a:p>
        <a:p>
          <a:r>
            <a:rPr lang="it-IT" sz="1100">
              <a:solidFill>
                <a:schemeClr val="tx1"/>
              </a:solidFill>
              <a:effectLst/>
              <a:latin typeface="+mn-lt"/>
              <a:ea typeface="+mn-ea"/>
              <a:cs typeface="+mn-cs"/>
            </a:rPr>
            <a:t>x2 = 200 euro e x3 = 300 euro, esigibili ai tempi t1 = 1, t2 = 2 e t3 = 3.</a:t>
          </a:r>
        </a:p>
        <a:p>
          <a:r>
            <a:rPr lang="it-IT" sz="1100">
              <a:solidFill>
                <a:schemeClr val="tx1"/>
              </a:solidFill>
              <a:effectLst/>
              <a:latin typeface="+mn-lt"/>
              <a:ea typeface="+mn-ea"/>
              <a:cs typeface="+mn-cs"/>
            </a:rPr>
            <a:t>Calcolare la struttura per scadenza dei prezzi a pronti e a termine, e quella dei tassi di interesse</a:t>
          </a:r>
        </a:p>
        <a:p>
          <a:r>
            <a:rPr lang="it-IT" sz="1100">
              <a:solidFill>
                <a:schemeClr val="tx1"/>
              </a:solidFill>
              <a:effectLst/>
              <a:latin typeface="+mn-lt"/>
              <a:ea typeface="+mn-ea"/>
              <a:cs typeface="+mn-cs"/>
            </a:rPr>
            <a:t>a pronti e a termine su base annua nei seguenti casi:</a:t>
          </a:r>
        </a:p>
        <a:p>
          <a:r>
            <a:rPr lang="it-IT" sz="1100">
              <a:solidFill>
                <a:schemeClr val="tx1"/>
              </a:solidFill>
              <a:effectLst/>
              <a:latin typeface="+mn-lt"/>
              <a:ea typeface="+mn-ea"/>
              <a:cs typeface="+mn-cs"/>
            </a:rPr>
            <a:t>(a) i tempi sono espressi in anni,</a:t>
          </a:r>
        </a:p>
        <a:p>
          <a:r>
            <a:rPr lang="it-IT" sz="1100">
              <a:solidFill>
                <a:schemeClr val="tx1"/>
              </a:solidFill>
              <a:effectLst/>
              <a:latin typeface="+mn-lt"/>
              <a:ea typeface="+mn-ea"/>
              <a:cs typeface="+mn-cs"/>
            </a:rPr>
            <a:t>(b) i tempi sono espressi in semestri.</a:t>
          </a:r>
        </a:p>
        <a:p>
          <a:endParaRPr lang="it-IT"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190499</xdr:rowOff>
    </xdr:from>
    <xdr:to>
      <xdr:col>12</xdr:col>
      <xdr:colOff>209550</xdr:colOff>
      <xdr:row>12</xdr:row>
      <xdr:rowOff>152400</xdr:rowOff>
    </xdr:to>
    <xdr:sp macro="" textlink="">
      <xdr:nvSpPr>
        <xdr:cNvPr id="2" name="Content Placeholder 4"/>
        <xdr:cNvSpPr>
          <a:spLocks/>
        </xdr:cNvSpPr>
      </xdr:nvSpPr>
      <xdr:spPr bwMode="auto">
        <a:xfrm>
          <a:off x="685800" y="190499"/>
          <a:ext cx="7753350" cy="2247901"/>
        </a:xfrm>
        <a:prstGeom prst="rect">
          <a:avLst/>
        </a:prstGeom>
        <a:solidFill>
          <a:srgbClr val="FFFFFF"/>
        </a:solidFill>
        <a:ln w="25400">
          <a:solidFill>
            <a:srgbClr val="4F81BD"/>
          </a:solidFill>
          <a:miter lim="800000"/>
          <a:headEnd/>
          <a:tailEnd/>
        </a:ln>
      </xdr:spPr>
      <xdr:txBody>
        <a:bodyPr vertOverflow="clip" wrap="square" lIns="36576" tIns="36576" rIns="0" bIns="0" anchor="t" upright="1"/>
        <a:lstStyle/>
        <a:p>
          <a:r>
            <a:rPr lang="it-IT" sz="1400" b="0" i="0" u="none" strike="noStrike" baseline="0" smtClean="0">
              <a:latin typeface="+mn-lt"/>
              <a:ea typeface="+mn-ea"/>
              <a:cs typeface="+mn-cs"/>
            </a:rPr>
            <a:t>Sia dato un mercato in cui al tempo t</a:t>
          </a:r>
          <a:r>
            <a:rPr lang="it-IT" sz="1400" b="0" i="0" u="none" strike="noStrike" baseline="-25000" smtClean="0">
              <a:latin typeface="+mn-lt"/>
              <a:ea typeface="+mn-ea"/>
              <a:cs typeface="+mn-cs"/>
            </a:rPr>
            <a:t>0</a:t>
          </a:r>
          <a:r>
            <a:rPr lang="it-IT" sz="1400" b="0" i="0" u="none" strike="noStrike" baseline="0" smtClean="0">
              <a:latin typeface="+mn-lt"/>
              <a:ea typeface="+mn-ea"/>
              <a:cs typeface="+mn-cs"/>
            </a:rPr>
            <a:t> = 0 siano presenti tre titoli obbligazionari i quali, in riferimento ad</a:t>
          </a:r>
        </a:p>
        <a:p>
          <a:r>
            <a:rPr lang="it-IT" sz="1400" b="0" i="0" u="none" strike="noStrike" baseline="0" smtClean="0">
              <a:latin typeface="+mn-lt"/>
              <a:ea typeface="+mn-ea"/>
              <a:cs typeface="+mn-cs"/>
            </a:rPr>
            <a:t>uno scadenzario t = {t</a:t>
          </a:r>
          <a:r>
            <a:rPr lang="it-IT" sz="1400" b="0" i="0" u="none" strike="noStrike" baseline="-25000" smtClean="0">
              <a:latin typeface="+mn-lt"/>
              <a:ea typeface="+mn-ea"/>
              <a:cs typeface="+mn-cs"/>
            </a:rPr>
            <a:t>1</a:t>
          </a:r>
          <a:r>
            <a:rPr lang="it-IT" sz="1400" b="0" i="0" u="none" strike="noStrike" baseline="0" smtClean="0">
              <a:latin typeface="+mn-lt"/>
              <a:ea typeface="+mn-ea"/>
              <a:cs typeface="+mn-cs"/>
            </a:rPr>
            <a:t>, t</a:t>
          </a:r>
          <a:r>
            <a:rPr lang="it-IT" sz="1400" b="0" i="0" u="none" strike="noStrike" baseline="-25000" smtClean="0">
              <a:latin typeface="+mn-lt"/>
              <a:ea typeface="+mn-ea"/>
              <a:cs typeface="+mn-cs"/>
            </a:rPr>
            <a:t>2</a:t>
          </a:r>
          <a:r>
            <a:rPr lang="it-IT" sz="1400" b="0" i="0" u="none" strike="noStrike" baseline="0" smtClean="0">
              <a:latin typeface="+mn-lt"/>
              <a:ea typeface="+mn-ea"/>
              <a:cs typeface="+mn-cs"/>
            </a:rPr>
            <a:t>, t</a:t>
          </a:r>
          <a:r>
            <a:rPr lang="it-IT" sz="1400" b="0" i="0" u="none" strike="noStrike" baseline="-25000" smtClean="0">
              <a:latin typeface="+mn-lt"/>
              <a:ea typeface="+mn-ea"/>
              <a:cs typeface="+mn-cs"/>
            </a:rPr>
            <a:t>3</a:t>
          </a:r>
          <a:r>
            <a:rPr lang="it-IT" sz="1400" b="0" i="0" u="none" strike="noStrike" baseline="0" smtClean="0">
              <a:latin typeface="+mn-lt"/>
              <a:ea typeface="+mn-ea"/>
              <a:cs typeface="+mn-cs"/>
            </a:rPr>
            <a:t>} = {1, 2, 4} trimestri, siano così composti:</a:t>
          </a:r>
        </a:p>
        <a:p>
          <a:r>
            <a:rPr lang="it-IT" sz="1400" b="0" i="0" u="none" strike="noStrike" baseline="0" smtClean="0">
              <a:latin typeface="+mn-lt"/>
              <a:ea typeface="+mn-ea"/>
              <a:cs typeface="+mn-cs"/>
            </a:rPr>
            <a:t>• uno zero coupon bond che garantisce 150 euro in t</a:t>
          </a:r>
          <a:r>
            <a:rPr lang="it-IT" sz="1400" b="0" i="0" u="none" strike="noStrike" baseline="-25000" smtClean="0">
              <a:latin typeface="+mn-lt"/>
              <a:ea typeface="+mn-ea"/>
              <a:cs typeface="+mn-cs"/>
            </a:rPr>
            <a:t>1</a:t>
          </a:r>
          <a:r>
            <a:rPr lang="it-IT" sz="1400" b="0" i="0" u="none" strike="noStrike" baseline="0" smtClean="0">
              <a:latin typeface="+mn-lt"/>
              <a:ea typeface="+mn-ea"/>
              <a:cs typeface="+mn-cs"/>
            </a:rPr>
            <a:t> al prezzo di 147 euro;</a:t>
          </a:r>
        </a:p>
        <a:p>
          <a:r>
            <a:rPr lang="it-IT" sz="1400" b="0" i="0" u="none" strike="noStrike" baseline="0" smtClean="0">
              <a:latin typeface="+mn-lt"/>
              <a:ea typeface="+mn-ea"/>
              <a:cs typeface="+mn-cs"/>
            </a:rPr>
            <a:t>• uno zero coupon bond che garantisce 100 euro in t</a:t>
          </a:r>
          <a:r>
            <a:rPr lang="it-IT" sz="1400" b="0" i="0" u="none" strike="noStrike" baseline="-25000" smtClean="0">
              <a:latin typeface="+mn-lt"/>
              <a:ea typeface="+mn-ea"/>
              <a:cs typeface="+mn-cs"/>
            </a:rPr>
            <a:t>2</a:t>
          </a:r>
          <a:r>
            <a:rPr lang="it-IT" sz="1400" b="0" i="0" u="none" strike="noStrike" baseline="0" smtClean="0">
              <a:latin typeface="+mn-lt"/>
              <a:ea typeface="+mn-ea"/>
              <a:cs typeface="+mn-cs"/>
            </a:rPr>
            <a:t> al prezzo di 96 euro;</a:t>
          </a:r>
        </a:p>
        <a:p>
          <a:r>
            <a:rPr lang="it-IT" sz="1400" b="0" i="0" u="none" strike="noStrike" baseline="0" smtClean="0">
              <a:latin typeface="+mn-lt"/>
              <a:ea typeface="+mn-ea"/>
              <a:cs typeface="+mn-cs"/>
            </a:rPr>
            <a:t>• un contratto che garantisce 200 euro in t</a:t>
          </a:r>
          <a:r>
            <a:rPr lang="it-IT" sz="1400" b="0" i="0" u="none" strike="noStrike" baseline="-25000" smtClean="0">
              <a:latin typeface="+mn-lt"/>
              <a:ea typeface="+mn-ea"/>
              <a:cs typeface="+mn-cs"/>
            </a:rPr>
            <a:t>3</a:t>
          </a:r>
          <a:r>
            <a:rPr lang="it-IT" sz="1400" b="0" i="0" u="none" strike="noStrike" baseline="0" smtClean="0">
              <a:latin typeface="+mn-lt"/>
              <a:ea typeface="+mn-ea"/>
              <a:cs typeface="+mn-cs"/>
            </a:rPr>
            <a:t> al prezzo, pattuito in t</a:t>
          </a:r>
          <a:r>
            <a:rPr lang="it-IT" sz="1400" b="0" i="0" u="none" strike="noStrike" baseline="-25000" smtClean="0">
              <a:latin typeface="+mn-lt"/>
              <a:ea typeface="+mn-ea"/>
              <a:cs typeface="+mn-cs"/>
            </a:rPr>
            <a:t>0</a:t>
          </a:r>
          <a:r>
            <a:rPr lang="it-IT" sz="1400" b="0" i="0" u="none" strike="noStrike" baseline="0" smtClean="0">
              <a:latin typeface="+mn-lt"/>
              <a:ea typeface="+mn-ea"/>
              <a:cs typeface="+mn-cs"/>
            </a:rPr>
            <a:t> e pagabile in t</a:t>
          </a:r>
          <a:r>
            <a:rPr lang="it-IT" sz="1400" b="0" i="0" u="none" strike="noStrike" baseline="-25000" smtClean="0">
              <a:latin typeface="+mn-lt"/>
              <a:ea typeface="+mn-ea"/>
              <a:cs typeface="+mn-cs"/>
            </a:rPr>
            <a:t>2</a:t>
          </a:r>
          <a:r>
            <a:rPr lang="it-IT" sz="1400" b="0" i="0" u="none" strike="noStrike" baseline="0" smtClean="0">
              <a:latin typeface="+mn-lt"/>
              <a:ea typeface="+mn-ea"/>
              <a:cs typeface="+mn-cs"/>
            </a:rPr>
            <a:t>, di 192 euro.</a:t>
          </a:r>
        </a:p>
        <a:p>
          <a:r>
            <a:rPr lang="it-IT" sz="1400" b="0" i="0" u="none" strike="noStrike" baseline="0" smtClean="0">
              <a:latin typeface="+mn-lt"/>
              <a:ea typeface="+mn-ea"/>
              <a:cs typeface="+mn-cs"/>
            </a:rPr>
            <a:t>Si calcoli il tasso a termine i(t</a:t>
          </a:r>
          <a:r>
            <a:rPr lang="it-IT" sz="1400" b="0" i="0" u="none" strike="noStrike" baseline="-25000" smtClean="0">
              <a:latin typeface="+mn-lt"/>
              <a:ea typeface="+mn-ea"/>
              <a:cs typeface="+mn-cs"/>
            </a:rPr>
            <a:t>0</a:t>
          </a:r>
          <a:r>
            <a:rPr lang="it-IT" sz="1400" b="0" i="0" u="none" strike="noStrike" baseline="0" smtClean="0">
              <a:latin typeface="+mn-lt"/>
              <a:ea typeface="+mn-ea"/>
              <a:cs typeface="+mn-cs"/>
            </a:rPr>
            <a:t>, t</a:t>
          </a:r>
          <a:r>
            <a:rPr lang="it-IT" sz="1400" b="0" i="0" u="none" strike="noStrike" baseline="-25000" smtClean="0">
              <a:latin typeface="+mn-lt"/>
              <a:ea typeface="+mn-ea"/>
              <a:cs typeface="+mn-cs"/>
            </a:rPr>
            <a:t>1</a:t>
          </a:r>
          <a:r>
            <a:rPr lang="it-IT" sz="1400" b="0" i="0" u="none" strike="noStrike" baseline="0" smtClean="0">
              <a:latin typeface="+mn-lt"/>
              <a:ea typeface="+mn-ea"/>
              <a:cs typeface="+mn-cs"/>
            </a:rPr>
            <a:t>, t</a:t>
          </a:r>
          <a:r>
            <a:rPr lang="it-IT" sz="1400" b="0" i="0" u="none" strike="noStrike" baseline="-25000" smtClean="0">
              <a:latin typeface="+mn-lt"/>
              <a:ea typeface="+mn-ea"/>
              <a:cs typeface="+mn-cs"/>
            </a:rPr>
            <a:t>3</a:t>
          </a:r>
          <a:r>
            <a:rPr lang="it-IT" sz="1400" b="0" i="0" u="none" strike="noStrike" baseline="0" smtClean="0">
              <a:latin typeface="+mn-lt"/>
              <a:ea typeface="+mn-ea"/>
              <a:cs typeface="+mn-cs"/>
            </a:rPr>
            <a:t>) implicato dalla struttura dei prezzi assegnata, esprimendolo in forma</a:t>
          </a:r>
        </a:p>
        <a:p>
          <a:r>
            <a:rPr lang="it-IT" sz="1400" b="0" i="0" u="none" strike="noStrike" baseline="0" smtClean="0">
              <a:latin typeface="+mn-lt"/>
              <a:ea typeface="+mn-ea"/>
              <a:cs typeface="+mn-cs"/>
            </a:rPr>
            <a:t>percentuale e su base annua. Siano inoltre x uno zcb unitario con maturity in t</a:t>
          </a:r>
          <a:r>
            <a:rPr lang="it-IT" sz="1400" b="0" i="0" u="none" strike="noStrike" baseline="-25000" smtClean="0">
              <a:latin typeface="+mn-lt"/>
              <a:ea typeface="+mn-ea"/>
              <a:cs typeface="+mn-cs"/>
            </a:rPr>
            <a:t>3</a:t>
          </a:r>
          <a:r>
            <a:rPr lang="it-IT" sz="1400" b="0" i="0" u="none" strike="noStrike" baseline="0" smtClean="0">
              <a:latin typeface="+mn-lt"/>
              <a:ea typeface="+mn-ea"/>
              <a:cs typeface="+mn-cs"/>
            </a:rPr>
            <a:t> e y = {10, 10}/{t</a:t>
          </a:r>
          <a:r>
            <a:rPr lang="it-IT" sz="1400" b="0" i="0" u="none" strike="noStrike" baseline="-25000" smtClean="0">
              <a:latin typeface="+mn-lt"/>
              <a:ea typeface="+mn-ea"/>
              <a:cs typeface="+mn-cs"/>
            </a:rPr>
            <a:t>2</a:t>
          </a:r>
          <a:r>
            <a:rPr lang="it-IT" sz="1400" b="0" i="0" u="none" strike="noStrike" baseline="0" smtClean="0">
              <a:latin typeface="+mn-lt"/>
              <a:ea typeface="+mn-ea"/>
              <a:cs typeface="+mn-cs"/>
            </a:rPr>
            <a:t>, t</a:t>
          </a:r>
          <a:r>
            <a:rPr lang="it-IT" sz="1400" b="0" i="0" u="none" strike="noStrike" baseline="-25000" smtClean="0">
              <a:latin typeface="+mn-lt"/>
              <a:ea typeface="+mn-ea"/>
              <a:cs typeface="+mn-cs"/>
            </a:rPr>
            <a:t>3</a:t>
          </a:r>
          <a:r>
            <a:rPr lang="it-IT" sz="1400" b="0" i="0" u="none" strike="noStrike" baseline="0" smtClean="0">
              <a:latin typeface="+mn-lt"/>
              <a:ea typeface="+mn-ea"/>
              <a:cs typeface="+mn-cs"/>
            </a:rPr>
            <a:t>}.</a:t>
          </a:r>
        </a:p>
        <a:p>
          <a:r>
            <a:rPr lang="it-IT" sz="1400" b="0" i="0" u="none" strike="noStrike" baseline="0" smtClean="0">
              <a:latin typeface="+mn-lt"/>
              <a:ea typeface="+mn-ea"/>
              <a:cs typeface="+mn-cs"/>
            </a:rPr>
            <a:t>Determinare quali prezzi p</a:t>
          </a:r>
          <a:r>
            <a:rPr lang="it-IT" sz="1400" b="0" i="0" u="none" strike="noStrike" baseline="-25000" smtClean="0">
              <a:latin typeface="+mn-lt"/>
              <a:ea typeface="+mn-ea"/>
              <a:cs typeface="+mn-cs"/>
            </a:rPr>
            <a:t>x</a:t>
          </a:r>
          <a:r>
            <a:rPr lang="it-IT" sz="1400" b="0" i="0" u="none" strike="noStrike" baseline="0" smtClean="0">
              <a:latin typeface="+mn-lt"/>
              <a:ea typeface="+mn-ea"/>
              <a:cs typeface="+mn-cs"/>
            </a:rPr>
            <a:t> e p</a:t>
          </a:r>
          <a:r>
            <a:rPr lang="it-IT" sz="1400" b="0" i="0" u="none" strike="noStrike" baseline="-25000" smtClean="0">
              <a:latin typeface="+mn-lt"/>
              <a:ea typeface="+mn-ea"/>
              <a:cs typeface="+mn-cs"/>
            </a:rPr>
            <a:t>y</a:t>
          </a:r>
          <a:r>
            <a:rPr lang="it-IT" sz="1400" b="0" i="0" u="none" strike="noStrike" baseline="0" smtClean="0">
              <a:latin typeface="+mn-lt"/>
              <a:ea typeface="+mn-ea"/>
              <a:cs typeface="+mn-cs"/>
            </a:rPr>
            <a:t>, rispettivamente, devono avere affinchè il mercato sia privo di arbitraggi non rischiosi.</a:t>
          </a:r>
          <a:endParaRPr lang="it-IT" sz="14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219076</xdr:colOff>
      <xdr:row>1</xdr:row>
      <xdr:rowOff>47625</xdr:rowOff>
    </xdr:from>
    <xdr:ext cx="10820400" cy="1619250"/>
    <xdr:sp macro="" textlink="">
      <xdr:nvSpPr>
        <xdr:cNvPr id="2" name="CasellaDiTesto 1"/>
        <xdr:cNvSpPr txBox="1"/>
      </xdr:nvSpPr>
      <xdr:spPr>
        <a:xfrm>
          <a:off x="219076" y="209550"/>
          <a:ext cx="10820400" cy="161925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400">
              <a:solidFill>
                <a:schemeClr val="tx1"/>
              </a:solidFill>
              <a:effectLst/>
              <a:latin typeface="+mn-lt"/>
              <a:ea typeface="+mn-ea"/>
              <a:cs typeface="+mn-cs"/>
            </a:rPr>
            <a:t>Siano V (0;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99.96 euro, V (0;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192.75 euro e V (0;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280.50 euro i prezzi di mercato al tempo t = 0 di tre zero coupon bond con valori di</a:t>
          </a:r>
        </a:p>
        <a:p>
          <a:r>
            <a:rPr lang="it-IT" sz="1400">
              <a:solidFill>
                <a:schemeClr val="tx1"/>
              </a:solidFill>
              <a:effectLst/>
              <a:latin typeface="+mn-lt"/>
              <a:ea typeface="+mn-ea"/>
              <a:cs typeface="+mn-cs"/>
            </a:rPr>
            <a:t>rimborso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=100 euro,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=200 euro e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=300 euro, esigibili ai tempi t</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60 giorni, t</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170 giorni e t</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360 giorni.</a:t>
          </a:r>
        </a:p>
        <a:p>
          <a:r>
            <a:rPr lang="it-IT" sz="1400">
              <a:solidFill>
                <a:schemeClr val="tx1"/>
              </a:solidFill>
              <a:effectLst/>
              <a:latin typeface="+mn-lt"/>
              <a:ea typeface="+mn-ea"/>
              <a:cs typeface="+mn-cs"/>
            </a:rPr>
            <a:t>(a) Calcolare la struttura per scadenza dei prezzi a pronti e a termine, e quella dei tassi di interesse a pronti e a termine su base annua</a:t>
          </a:r>
        </a:p>
        <a:p>
          <a:r>
            <a:rPr lang="it-IT" sz="1400">
              <a:solidFill>
                <a:schemeClr val="tx1"/>
              </a:solidFill>
              <a:effectLst/>
              <a:latin typeface="+mn-lt"/>
              <a:ea typeface="+mn-ea"/>
              <a:cs typeface="+mn-cs"/>
            </a:rPr>
            <a:t> Si assuma la durata commerciale dell’anno.</a:t>
          </a:r>
        </a:p>
        <a:p>
          <a:r>
            <a:rPr lang="it-IT" sz="1400">
              <a:solidFill>
                <a:schemeClr val="tx1"/>
              </a:solidFill>
              <a:effectLst/>
              <a:latin typeface="+mn-lt"/>
              <a:ea typeface="+mn-ea"/>
              <a:cs typeface="+mn-cs"/>
            </a:rPr>
            <a:t>(b) Si determini il valore attuale in t=0 rispetto alla struttura calcolata del flusso x={20, 40, 60} relativo allo scadenzario {t1, t2, t3}.</a:t>
          </a:r>
        </a:p>
        <a:p>
          <a:endParaRPr lang="it-IT" sz="14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xdr:row>
      <xdr:rowOff>9525</xdr:rowOff>
    </xdr:from>
    <xdr:ext cx="11827597" cy="1855188"/>
    <xdr:sp macro="" textlink="">
      <xdr:nvSpPr>
        <xdr:cNvPr id="2" name="CasellaDiTesto 1"/>
        <xdr:cNvSpPr txBox="1"/>
      </xdr:nvSpPr>
      <xdr:spPr>
        <a:xfrm>
          <a:off x="609600" y="333375"/>
          <a:ext cx="11827597" cy="1855188"/>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400">
              <a:solidFill>
                <a:schemeClr val="tx1"/>
              </a:solidFill>
              <a:effectLst/>
              <a:latin typeface="+mn-lt"/>
              <a:ea typeface="+mn-ea"/>
              <a:cs typeface="+mn-cs"/>
            </a:rPr>
            <a:t>Si consideri un mercato in cui siano presenti i seguenti titoli:</a:t>
          </a:r>
        </a:p>
        <a:p>
          <a:r>
            <a:rPr lang="en-GB" sz="1400">
              <a:solidFill>
                <a:schemeClr val="tx1"/>
              </a:solidFill>
              <a:effectLst/>
              <a:latin typeface="+mn-lt"/>
              <a:ea typeface="+mn-ea"/>
              <a:cs typeface="+mn-cs"/>
            </a:rPr>
            <a:t>• uno zero coupon bond x = {100, 0, 0}/t,</a:t>
          </a:r>
          <a:endParaRPr lang="it-IT" sz="1400">
            <a:solidFill>
              <a:schemeClr val="tx1"/>
            </a:solidFill>
            <a:effectLst/>
            <a:latin typeface="+mn-lt"/>
            <a:ea typeface="+mn-ea"/>
            <a:cs typeface="+mn-cs"/>
          </a:endParaRPr>
        </a:p>
        <a:p>
          <a:r>
            <a:rPr lang="en-GB" sz="1400">
              <a:solidFill>
                <a:schemeClr val="tx1"/>
              </a:solidFill>
              <a:effectLst/>
              <a:latin typeface="+mn-lt"/>
              <a:ea typeface="+mn-ea"/>
              <a:cs typeface="+mn-cs"/>
            </a:rPr>
            <a:t>• un bullet bond y = {3, 0, 103}/t,</a:t>
          </a:r>
          <a:endParaRPr lang="it-IT" sz="1400">
            <a:solidFill>
              <a:schemeClr val="tx1"/>
            </a:solidFill>
            <a:effectLst/>
            <a:latin typeface="+mn-lt"/>
            <a:ea typeface="+mn-ea"/>
            <a:cs typeface="+mn-cs"/>
          </a:endParaRPr>
        </a:p>
        <a:p>
          <a:r>
            <a:rPr lang="en-GB" sz="1400">
              <a:solidFill>
                <a:schemeClr val="tx1"/>
              </a:solidFill>
              <a:effectLst/>
              <a:latin typeface="+mn-lt"/>
              <a:ea typeface="+mn-ea"/>
              <a:cs typeface="+mn-cs"/>
            </a:rPr>
            <a:t>• un bullet bond z = {5, 5, 105}/t,</a:t>
          </a:r>
          <a:endParaRPr lang="it-IT" sz="1400">
            <a:solidFill>
              <a:schemeClr val="tx1"/>
            </a:solidFill>
            <a:effectLst/>
            <a:latin typeface="+mn-lt"/>
            <a:ea typeface="+mn-ea"/>
            <a:cs typeface="+mn-cs"/>
          </a:endParaRPr>
        </a:p>
        <a:p>
          <a:r>
            <a:rPr lang="it-IT" sz="1400">
              <a:solidFill>
                <a:schemeClr val="tx1"/>
              </a:solidFill>
              <a:effectLst/>
              <a:latin typeface="+mn-lt"/>
              <a:ea typeface="+mn-ea"/>
              <a:cs typeface="+mn-cs"/>
            </a:rPr>
            <a:t>dove t = {0.5, 1, 1.5} anni. Si supponga che i prezzi di mercato al tempo 0 siano V(0;x)=98.77 euro, V (0; y) = 100.08 euro e V (0; z) = 108.80 euro.</a:t>
          </a:r>
        </a:p>
        <a:p>
          <a:r>
            <a:rPr lang="it-IT" sz="1400">
              <a:solidFill>
                <a:schemeClr val="tx1"/>
              </a:solidFill>
              <a:effectLst/>
              <a:latin typeface="+mn-lt"/>
              <a:ea typeface="+mn-ea"/>
              <a:cs typeface="+mn-cs"/>
            </a:rPr>
            <a:t>(a) Calcolare la struttura per scadenza dei tassi d’interesse a pronti e a termine su base annua implicata dalla struttura dei prezzi osservata.</a:t>
          </a:r>
        </a:p>
        <a:p>
          <a:r>
            <a:rPr lang="it-IT" sz="1400">
              <a:solidFill>
                <a:schemeClr val="tx1"/>
              </a:solidFill>
              <a:effectLst/>
              <a:latin typeface="+mn-lt"/>
              <a:ea typeface="+mn-ea"/>
              <a:cs typeface="+mn-cs"/>
            </a:rPr>
            <a:t>(b) Mostrare che lo zero coupon bond v = {0, 100, 0} è replicato da un portafoglio costituito dai titoli x, y e z, determinando le quote di composizione </a:t>
          </a:r>
          <a:r>
            <a:rPr lang="it-IT" sz="1400">
              <a:solidFill>
                <a:schemeClr val="tx1"/>
              </a:solidFill>
              <a:effectLst/>
              <a:latin typeface="+mn-lt"/>
              <a:ea typeface="+mn-ea"/>
              <a:cs typeface="+mn-cs"/>
              <a:sym typeface="Symbol"/>
            </a:rPr>
            <a:t></a:t>
          </a:r>
          <a:r>
            <a:rPr lang="it-IT" sz="1400" baseline="-25000">
              <a:solidFill>
                <a:schemeClr val="tx1"/>
              </a:solidFill>
              <a:effectLst/>
              <a:latin typeface="+mn-lt"/>
              <a:ea typeface="+mn-ea"/>
              <a:cs typeface="+mn-cs"/>
            </a:rPr>
            <a:t>x</a:t>
          </a:r>
          <a:r>
            <a:rPr lang="it-IT" sz="1400">
              <a:solidFill>
                <a:schemeClr val="tx1"/>
              </a:solidFill>
              <a:effectLst/>
              <a:latin typeface="+mn-lt"/>
              <a:ea typeface="+mn-ea"/>
              <a:cs typeface="+mn-cs"/>
            </a:rPr>
            <a:t>, </a:t>
          </a:r>
          <a:r>
            <a:rPr lang="it-IT" sz="1400">
              <a:solidFill>
                <a:schemeClr val="tx1"/>
              </a:solidFill>
              <a:effectLst/>
              <a:latin typeface="+mn-lt"/>
              <a:ea typeface="+mn-ea"/>
              <a:cs typeface="+mn-cs"/>
              <a:sym typeface="Symbol"/>
            </a:rPr>
            <a:t></a:t>
          </a:r>
          <a:r>
            <a:rPr lang="it-IT" sz="1400" baseline="-25000">
              <a:solidFill>
                <a:schemeClr val="tx1"/>
              </a:solidFill>
              <a:effectLst/>
              <a:latin typeface="+mn-lt"/>
              <a:ea typeface="+mn-ea"/>
              <a:cs typeface="+mn-cs"/>
            </a:rPr>
            <a:t>y</a:t>
          </a:r>
          <a:r>
            <a:rPr lang="it-IT" sz="1400">
              <a:solidFill>
                <a:schemeClr val="tx1"/>
              </a:solidFill>
              <a:effectLst/>
              <a:latin typeface="+mn-lt"/>
              <a:ea typeface="+mn-ea"/>
              <a:cs typeface="+mn-cs"/>
            </a:rPr>
            <a:t> e </a:t>
          </a:r>
          <a:r>
            <a:rPr lang="it-IT" sz="1400">
              <a:solidFill>
                <a:schemeClr val="tx1"/>
              </a:solidFill>
              <a:effectLst/>
              <a:latin typeface="+mn-lt"/>
              <a:ea typeface="+mn-ea"/>
              <a:cs typeface="+mn-cs"/>
              <a:sym typeface="Symbol"/>
            </a:rPr>
            <a:t></a:t>
          </a:r>
          <a:r>
            <a:rPr lang="it-IT" sz="1400" baseline="-25000">
              <a:solidFill>
                <a:schemeClr val="tx1"/>
              </a:solidFill>
              <a:effectLst/>
              <a:latin typeface="+mn-lt"/>
              <a:ea typeface="+mn-ea"/>
              <a:cs typeface="+mn-cs"/>
            </a:rPr>
            <a:t>z</a:t>
          </a:r>
          <a:r>
            <a:rPr lang="it-IT" sz="1400">
              <a:solidFill>
                <a:schemeClr val="tx1"/>
              </a:solidFill>
              <a:effectLst/>
              <a:latin typeface="+mn-lt"/>
              <a:ea typeface="+mn-ea"/>
              <a:cs typeface="+mn-cs"/>
            </a:rPr>
            <a:t>.</a:t>
          </a:r>
        </a:p>
        <a:p>
          <a:endParaRPr lang="it-IT" sz="14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1</xdr:row>
      <xdr:rowOff>123825</xdr:rowOff>
    </xdr:from>
    <xdr:ext cx="9967665" cy="749821"/>
    <xdr:sp macro="" textlink="">
      <xdr:nvSpPr>
        <xdr:cNvPr id="2" name="CasellaDiTesto 1"/>
        <xdr:cNvSpPr txBox="1"/>
      </xdr:nvSpPr>
      <xdr:spPr>
        <a:xfrm>
          <a:off x="693860" y="285017"/>
          <a:ext cx="9967665" cy="749821"/>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400">
              <a:solidFill>
                <a:schemeClr val="tx1"/>
              </a:solidFill>
              <a:effectLst/>
              <a:latin typeface="+mn-lt"/>
              <a:ea typeface="+mn-ea"/>
              <a:cs typeface="+mn-cs"/>
            </a:rPr>
            <a:t>Siano V (0;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99.77 euro, V (0;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148.80 euro e V (0;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176.30 euro i prezzi di mercato al tempo t = 0 di tre zero coupon bond</a:t>
          </a:r>
        </a:p>
        <a:p>
          <a:r>
            <a:rPr lang="it-IT" sz="1400">
              <a:solidFill>
                <a:schemeClr val="tx1"/>
              </a:solidFill>
              <a:effectLst/>
              <a:latin typeface="+mn-lt"/>
              <a:ea typeface="+mn-ea"/>
              <a:cs typeface="+mn-cs"/>
            </a:rPr>
            <a:t>con valori di rimborso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100 euro,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=150 euro e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180 euro, esigibili ai tempi t</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90 giorni, t</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180 giorni e t</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351 giorni.</a:t>
          </a:r>
        </a:p>
        <a:p>
          <a:r>
            <a:rPr lang="it-IT" sz="1400">
              <a:solidFill>
                <a:schemeClr val="tx1"/>
              </a:solidFill>
              <a:effectLst/>
              <a:latin typeface="+mn-lt"/>
              <a:ea typeface="+mn-ea"/>
              <a:cs typeface="+mn-cs"/>
            </a:rPr>
            <a:t>Si calcoli la struttura per scadenza dei prezzi e dei tassi a pronti e a</a:t>
          </a:r>
          <a:r>
            <a:rPr lang="it-IT" sz="1400" baseline="0">
              <a:solidFill>
                <a:schemeClr val="tx1"/>
              </a:solidFill>
              <a:effectLst/>
              <a:latin typeface="+mn-lt"/>
              <a:ea typeface="+mn-ea"/>
              <a:cs typeface="+mn-cs"/>
            </a:rPr>
            <a:t> termine</a:t>
          </a:r>
          <a:r>
            <a:rPr lang="it-IT" sz="1400">
              <a:solidFill>
                <a:schemeClr val="tx1"/>
              </a:solidFill>
              <a:effectLst/>
              <a:latin typeface="+mn-lt"/>
              <a:ea typeface="+mn-ea"/>
              <a:cs typeface="+mn-cs"/>
            </a:rPr>
            <a:t> su base annua. Si assuma la durata commerciale dell’anno</a:t>
          </a:r>
          <a:endParaRPr lang="it-IT" sz="14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xdr:colOff>
      <xdr:row>1</xdr:row>
      <xdr:rowOff>76200</xdr:rowOff>
    </xdr:from>
    <xdr:ext cx="10399963" cy="1407308"/>
    <xdr:sp macro="" textlink="">
      <xdr:nvSpPr>
        <xdr:cNvPr id="2" name="CasellaDiTesto 1"/>
        <xdr:cNvSpPr txBox="1"/>
      </xdr:nvSpPr>
      <xdr:spPr>
        <a:xfrm>
          <a:off x="628650" y="238125"/>
          <a:ext cx="10399963" cy="1407308"/>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400">
              <a:solidFill>
                <a:schemeClr val="tx1"/>
              </a:solidFill>
              <a:effectLst/>
              <a:latin typeface="+mn-lt"/>
              <a:ea typeface="+mn-ea"/>
              <a:cs typeface="+mn-cs"/>
            </a:rPr>
            <a:t>Siano V (0;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99 euro, V (0;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190 e V (0;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270 euro i prezzi di mercato al tempo 0 di tre zero coupon bond</a:t>
          </a:r>
        </a:p>
        <a:p>
          <a:r>
            <a:rPr lang="it-IT" sz="1400">
              <a:solidFill>
                <a:schemeClr val="tx1"/>
              </a:solidFill>
              <a:effectLst/>
              <a:latin typeface="+mn-lt"/>
              <a:ea typeface="+mn-ea"/>
              <a:cs typeface="+mn-cs"/>
            </a:rPr>
            <a:t>con valori di rimborso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100 euro,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200 euro e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=300 euro, esigibili ai tempi t</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30 giorni, t</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180 giorni e t</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360 giorni.</a:t>
          </a:r>
        </a:p>
        <a:p>
          <a:r>
            <a:rPr lang="it-IT" sz="1400">
              <a:solidFill>
                <a:schemeClr val="tx1"/>
              </a:solidFill>
              <a:effectLst/>
              <a:latin typeface="+mn-lt"/>
              <a:ea typeface="+mn-ea"/>
              <a:cs typeface="+mn-cs"/>
            </a:rPr>
            <a:t>(a) Calcolare la struttura per scadenza dei tassi di interesse a pronti e a termine su base annua, assumendo la</a:t>
          </a:r>
          <a:r>
            <a:rPr lang="it-IT" sz="1400" baseline="0">
              <a:solidFill>
                <a:schemeClr val="tx1"/>
              </a:solidFill>
              <a:effectLst/>
              <a:latin typeface="+mn-lt"/>
              <a:ea typeface="+mn-ea"/>
              <a:cs typeface="+mn-cs"/>
            </a:rPr>
            <a:t> </a:t>
          </a:r>
          <a:r>
            <a:rPr lang="it-IT" sz="1400">
              <a:solidFill>
                <a:schemeClr val="tx1"/>
              </a:solidFill>
              <a:effectLst/>
              <a:latin typeface="+mn-lt"/>
              <a:ea typeface="+mn-ea"/>
              <a:cs typeface="+mn-cs"/>
            </a:rPr>
            <a:t>durata commerciale dell’anno.</a:t>
          </a:r>
        </a:p>
        <a:p>
          <a:r>
            <a:rPr lang="it-IT" sz="1400">
              <a:solidFill>
                <a:schemeClr val="tx1"/>
              </a:solidFill>
              <a:effectLst/>
              <a:latin typeface="+mn-lt"/>
              <a:ea typeface="+mn-ea"/>
              <a:cs typeface="+mn-cs"/>
            </a:rPr>
            <a:t>(b) Considerato il flusso x =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esigibili ai tempi {t</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t</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t</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sia P = 558 il valore di mercato del flusso x. Dire se è possibile realizzare</a:t>
          </a:r>
        </a:p>
        <a:p>
          <a:r>
            <a:rPr lang="it-IT" sz="1400">
              <a:solidFill>
                <a:schemeClr val="tx1"/>
              </a:solidFill>
              <a:effectLst/>
              <a:latin typeface="+mn-lt"/>
              <a:ea typeface="+mn-ea"/>
              <a:cs typeface="+mn-cs"/>
            </a:rPr>
            <a:t>un profitto certo al tempo t = 0, avendo chiuso in pareggio la posizione negli altri periodi ed indicarne l’eventuale guadagno G.</a:t>
          </a:r>
        </a:p>
        <a:p>
          <a:endParaRPr lang="it-IT" sz="14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22225</xdr:colOff>
      <xdr:row>0</xdr:row>
      <xdr:rowOff>177800</xdr:rowOff>
    </xdr:from>
    <xdr:to>
      <xdr:col>11</xdr:col>
      <xdr:colOff>123829</xdr:colOff>
      <xdr:row>17</xdr:row>
      <xdr:rowOff>95250</xdr:rowOff>
    </xdr:to>
    <xdr:sp macro="" textlink="">
      <xdr:nvSpPr>
        <xdr:cNvPr id="2" name="Content Placeholder 4"/>
        <xdr:cNvSpPr>
          <a:spLocks/>
        </xdr:cNvSpPr>
      </xdr:nvSpPr>
      <xdr:spPr bwMode="auto">
        <a:xfrm>
          <a:off x="622300" y="177800"/>
          <a:ext cx="11903079" cy="3803650"/>
        </a:xfrm>
        <a:prstGeom prst="rect">
          <a:avLst/>
        </a:prstGeom>
        <a:solidFill>
          <a:srgbClr val="FFFFFF"/>
        </a:solidFill>
        <a:ln w="25400">
          <a:solidFill>
            <a:srgbClr val="4F81BD"/>
          </a:solidFill>
          <a:miter lim="800000"/>
          <a:headEnd/>
          <a:tailEnd/>
        </a:ln>
      </xdr:spPr>
      <xdr:txBody>
        <a:bodyPr vertOverflow="clip" wrap="square" lIns="91440" tIns="45720" rIns="91440" bIns="45720" anchor="t" upright="1"/>
        <a:lstStyle/>
        <a:p>
          <a:pPr algn="l" rtl="0">
            <a:defRPr sz="1000"/>
          </a:pPr>
          <a:r>
            <a:rPr lang="it-IT" sz="1800" b="0" i="0" u="none" strike="noStrike" baseline="0">
              <a:solidFill>
                <a:srgbClr val="000000"/>
              </a:solidFill>
              <a:latin typeface="Calibri"/>
            </a:rPr>
            <a:t>Siano V (0; x1) = 98.35 €, V (0; x2) = 192.50 € e V (0; x3) = 282.50 € i prezzi di mercato al tempo t = 0 di tre zero coupon bond con valori di rimborso (nominali) x1 = 100 €, x2 = 200 € ex3 = 300 €, esigibili ai tempi t1 = 0.5 anni, t2 = 1 anno e t3 = 1.5 anni. </a:t>
          </a:r>
        </a:p>
        <a:p>
          <a:pPr algn="l" rtl="0">
            <a:defRPr sz="1000"/>
          </a:pPr>
          <a:endParaRPr lang="it-IT" sz="1800" b="0" i="0" u="none" strike="noStrike" baseline="0">
            <a:solidFill>
              <a:srgbClr val="000000"/>
            </a:solidFill>
            <a:latin typeface="Calibri"/>
          </a:endParaRPr>
        </a:p>
        <a:p>
          <a:pPr algn="l" rtl="0">
            <a:defRPr sz="1000"/>
          </a:pPr>
          <a:r>
            <a:rPr lang="it-IT" sz="1800" b="0" i="0" u="none" strike="noStrike" baseline="0">
              <a:solidFill>
                <a:srgbClr val="000000"/>
              </a:solidFill>
              <a:latin typeface="Calibri"/>
            </a:rPr>
            <a:t>Calcolare la struttura per scadenza:</a:t>
          </a:r>
        </a:p>
        <a:p>
          <a:pPr algn="l" rtl="0">
            <a:defRPr sz="1000"/>
          </a:pPr>
          <a:endParaRPr lang="it-IT" sz="1800" b="0" i="0" u="none" strike="noStrike" baseline="0">
            <a:solidFill>
              <a:srgbClr val="000000"/>
            </a:solidFill>
            <a:latin typeface="Calibri"/>
          </a:endParaRPr>
        </a:p>
        <a:p>
          <a:pPr algn="l" rtl="0">
            <a:defRPr sz="1000"/>
          </a:pPr>
          <a:r>
            <a:rPr lang="it-IT" sz="1800" b="0" i="0" u="none" strike="noStrike" baseline="0">
              <a:solidFill>
                <a:srgbClr val="000000"/>
              </a:solidFill>
              <a:latin typeface="Calibri"/>
            </a:rPr>
            <a:t>• dei tassi di interesse a pronti </a:t>
          </a:r>
        </a:p>
        <a:p>
          <a:pPr algn="l" rtl="0">
            <a:defRPr sz="1000"/>
          </a:pPr>
          <a:r>
            <a:rPr lang="it-IT" sz="1800" b="0" i="0" u="none" strike="noStrike" baseline="0">
              <a:solidFill>
                <a:srgbClr val="000000"/>
              </a:solidFill>
              <a:latin typeface="Calibri"/>
            </a:rPr>
            <a:t>• dei tassi d’interesse a termine uniperiodale </a:t>
          </a:r>
        </a:p>
        <a:p>
          <a:pPr algn="l" rtl="0">
            <a:defRPr sz="1000"/>
          </a:pPr>
          <a:endParaRPr lang="it-IT" sz="1800" b="0" i="0" u="none" strike="noStrike" baseline="0">
            <a:solidFill>
              <a:srgbClr val="000000"/>
            </a:solidFill>
            <a:latin typeface="Calibri"/>
          </a:endParaRPr>
        </a:p>
        <a:p>
          <a:pPr algn="l" rtl="0">
            <a:defRPr sz="1000"/>
          </a:pPr>
          <a:r>
            <a:rPr lang="it-IT" sz="1800" b="0" i="0" u="none" strike="noStrike" baseline="0">
              <a:solidFill>
                <a:srgbClr val="000000"/>
              </a:solidFill>
              <a:latin typeface="Calibri"/>
            </a:rPr>
            <a:t>corrispondente alla struttura dei prezzi assegnata, esprimendo i tassi su base annua.</a:t>
          </a:r>
        </a:p>
        <a:p>
          <a:pPr algn="l" rtl="0">
            <a:defRPr sz="1000"/>
          </a:pPr>
          <a:endParaRPr lang="it-IT" sz="1800" b="0" i="0" u="none" strike="noStrike" baseline="0">
            <a:solidFill>
              <a:srgbClr val="000000"/>
            </a:solidFill>
            <a:latin typeface="Calibri"/>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285750</xdr:colOff>
      <xdr:row>1</xdr:row>
      <xdr:rowOff>12700</xdr:rowOff>
    </xdr:from>
    <xdr:to>
      <xdr:col>13</xdr:col>
      <xdr:colOff>361950</xdr:colOff>
      <xdr:row>21</xdr:row>
      <xdr:rowOff>66675</xdr:rowOff>
    </xdr:to>
    <xdr:sp macro="" textlink="">
      <xdr:nvSpPr>
        <xdr:cNvPr id="2" name="Content Placeholder 4"/>
        <xdr:cNvSpPr>
          <a:spLocks/>
        </xdr:cNvSpPr>
      </xdr:nvSpPr>
      <xdr:spPr bwMode="auto">
        <a:xfrm>
          <a:off x="285750" y="203200"/>
          <a:ext cx="8715375" cy="2911475"/>
        </a:xfrm>
        <a:prstGeom prst="rect">
          <a:avLst/>
        </a:prstGeom>
        <a:solidFill>
          <a:srgbClr val="FFFFFF"/>
        </a:solidFill>
        <a:ln w="25400">
          <a:solidFill>
            <a:srgbClr val="4F81BD"/>
          </a:solidFill>
          <a:miter lim="800000"/>
          <a:headEnd/>
          <a:tailEnd/>
        </a:ln>
      </xdr:spPr>
      <xdr:txBody>
        <a:bodyPr vertOverflow="clip" wrap="square" lIns="91440" tIns="45720" rIns="91440" bIns="45720" anchor="t" upright="1"/>
        <a:lstStyle/>
        <a:p>
          <a:pPr algn="l" rtl="0">
            <a:defRPr sz="1000"/>
          </a:pPr>
          <a:r>
            <a:rPr lang="it-IT" sz="1400" b="0" i="0" strike="noStrike">
              <a:solidFill>
                <a:srgbClr val="000000"/>
              </a:solidFill>
              <a:latin typeface="Calibri"/>
              <a:ea typeface="Calibri"/>
              <a:cs typeface="Calibri"/>
            </a:rPr>
            <a:t>Data la struttura per scadenza dei tassi d’interesse a pronti,</a:t>
          </a:r>
        </a:p>
        <a:p>
          <a:pPr algn="l" rtl="0">
            <a:defRPr sz="1000"/>
          </a:pPr>
          <a:r>
            <a:rPr lang="it-IT" sz="1400" b="0" i="0" strike="noStrike">
              <a:solidFill>
                <a:srgbClr val="000000"/>
              </a:solidFill>
              <a:latin typeface="Calibri"/>
              <a:ea typeface="Calibri"/>
              <a:cs typeface="Calibri"/>
            </a:rPr>
            <a:t>calcolare la struttura per scadenza dei:</a:t>
          </a:r>
        </a:p>
        <a:p>
          <a:pPr algn="l" rtl="0">
            <a:defRPr sz="1000"/>
          </a:pPr>
          <a:endParaRPr lang="it-IT" sz="1400" b="0" i="0" strike="noStrike">
            <a:solidFill>
              <a:srgbClr val="000000"/>
            </a:solidFill>
            <a:latin typeface="Calibri"/>
            <a:ea typeface="Calibri"/>
            <a:cs typeface="Calibri"/>
          </a:endParaRPr>
        </a:p>
        <a:p>
          <a:pPr algn="l" rtl="0">
            <a:defRPr sz="1000"/>
          </a:pPr>
          <a:r>
            <a:rPr lang="it-IT" sz="1400" b="0" i="0" strike="noStrike">
              <a:solidFill>
                <a:srgbClr val="000000"/>
              </a:solidFill>
              <a:latin typeface="Calibri"/>
              <a:ea typeface="Calibri"/>
              <a:cs typeface="Calibri"/>
            </a:rPr>
            <a:t>• fattori di sconto;</a:t>
          </a:r>
        </a:p>
        <a:p>
          <a:pPr algn="l" rtl="0">
            <a:defRPr sz="1000"/>
          </a:pPr>
          <a:r>
            <a:rPr lang="it-IT" sz="1400" b="0" i="0" strike="noStrike">
              <a:solidFill>
                <a:srgbClr val="000000"/>
              </a:solidFill>
              <a:latin typeface="Calibri"/>
              <a:ea typeface="Calibri"/>
              <a:cs typeface="Calibri"/>
            </a:rPr>
            <a:t>• fattori di sconto a termine uniperiodali su base annua;</a:t>
          </a:r>
        </a:p>
        <a:p>
          <a:pPr algn="l" rtl="0">
            <a:defRPr sz="1000"/>
          </a:pPr>
          <a:r>
            <a:rPr lang="it-IT" sz="1400" b="0" i="0" strike="noStrike">
              <a:solidFill>
                <a:srgbClr val="000000"/>
              </a:solidFill>
              <a:latin typeface="Calibri"/>
              <a:ea typeface="Calibri"/>
              <a:cs typeface="Calibri"/>
            </a:rPr>
            <a:t>• tassi d’interesse a termine uniperiodali su base annua.</a:t>
          </a:r>
        </a:p>
        <a:p>
          <a:pPr algn="l" rtl="0">
            <a:defRPr sz="1000"/>
          </a:pPr>
          <a:endParaRPr lang="it-IT" sz="1400" b="0" i="0" strike="noStrike">
            <a:solidFill>
              <a:srgbClr val="000000"/>
            </a:solidFill>
            <a:latin typeface="Calibri"/>
            <a:ea typeface="Calibri"/>
            <a:cs typeface="Calibri"/>
          </a:endParaRPr>
        </a:p>
        <a:p>
          <a:pPr algn="l" rtl="0">
            <a:defRPr sz="1000"/>
          </a:pPr>
          <a:r>
            <a:rPr lang="it-IT" sz="1400" b="0" i="0" strike="noStrike">
              <a:solidFill>
                <a:srgbClr val="000000"/>
              </a:solidFill>
              <a:latin typeface="Calibri"/>
              <a:ea typeface="Calibri"/>
              <a:cs typeface="Calibri"/>
            </a:rPr>
            <a:t>Inoltre calcolare per ciascuna scadenza:</a:t>
          </a:r>
        </a:p>
        <a:p>
          <a:pPr algn="l" rtl="0">
            <a:defRPr sz="1000"/>
          </a:pPr>
          <a:r>
            <a:rPr lang="it-IT" sz="1400" b="0" i="0" strike="noStrike">
              <a:solidFill>
                <a:srgbClr val="000000"/>
              </a:solidFill>
              <a:latin typeface="Calibri"/>
              <a:ea typeface="Calibri"/>
              <a:cs typeface="Calibri"/>
            </a:rPr>
            <a:t>•Il tasso d’interesse a pronti su base semestrale</a:t>
          </a:r>
        </a:p>
        <a:p>
          <a:pPr algn="l" rtl="0">
            <a:defRPr sz="1000"/>
          </a:pPr>
          <a:r>
            <a:rPr lang="it-IT" sz="1400" b="0" i="0" strike="noStrike">
              <a:solidFill>
                <a:srgbClr val="000000"/>
              </a:solidFill>
              <a:latin typeface="Calibri"/>
              <a:ea typeface="Calibri"/>
              <a:cs typeface="Calibri"/>
            </a:rPr>
            <a:t>•Il tasso d’interesse a pronti su base trimestrale</a:t>
          </a:r>
        </a:p>
        <a:p>
          <a:pPr algn="l" rtl="0">
            <a:defRPr sz="1000"/>
          </a:pPr>
          <a:r>
            <a:rPr lang="it-IT" sz="1400" b="0" i="0" strike="noStrike">
              <a:solidFill>
                <a:srgbClr val="000000"/>
              </a:solidFill>
              <a:latin typeface="Calibri"/>
              <a:ea typeface="Calibri"/>
              <a:cs typeface="Calibri"/>
            </a:rPr>
            <a:t>•Il tasso d’interesse a pronti su base mensile</a:t>
          </a:r>
        </a:p>
        <a:p>
          <a:pPr algn="l" rtl="0">
            <a:defRPr sz="1000"/>
          </a:pPr>
          <a:r>
            <a:rPr lang="it-IT" sz="1400" b="0" i="0" strike="noStrike">
              <a:solidFill>
                <a:srgbClr val="000000"/>
              </a:solidFill>
              <a:latin typeface="Calibri"/>
              <a:ea typeface="Calibri"/>
              <a:cs typeface="Calibri"/>
            </a:rPr>
            <a:t>•Il tasso d’interesse periodale</a:t>
          </a:r>
        </a:p>
        <a:p>
          <a:pPr algn="l" rtl="0">
            <a:defRPr sz="1000"/>
          </a:pPr>
          <a:endParaRPr lang="it-IT" sz="1400" b="0" i="0" strike="noStrike">
            <a:solidFill>
              <a:srgbClr val="000000"/>
            </a:solidFill>
            <a:latin typeface="Calibri"/>
            <a:ea typeface="Calibri"/>
            <a:cs typeface="Calibri"/>
          </a:endParaRPr>
        </a:p>
        <a:p>
          <a:pPr algn="l" rtl="0">
            <a:defRPr sz="1000"/>
          </a:pPr>
          <a:endParaRPr lang="it-IT" sz="1400" b="0" i="0" strike="noStrike">
            <a:solidFill>
              <a:srgbClr val="000000"/>
            </a:solidFill>
            <a:latin typeface="Calibri"/>
            <a:ea typeface="Calibri"/>
            <a:cs typeface="Calibri"/>
          </a:endParaRPr>
        </a:p>
        <a:p>
          <a:pPr algn="l" rtl="0">
            <a:defRPr sz="1000"/>
          </a:pPr>
          <a:endParaRPr lang="it-IT" sz="1400" b="0" i="0" strike="noStrike">
            <a:solidFill>
              <a:srgbClr val="000000"/>
            </a:solidFill>
            <a:latin typeface="Calibri"/>
            <a:ea typeface="Calibri"/>
            <a:cs typeface="Calibri"/>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247650</xdr:colOff>
      <xdr:row>1</xdr:row>
      <xdr:rowOff>19051</xdr:rowOff>
    </xdr:from>
    <xdr:to>
      <xdr:col>11</xdr:col>
      <xdr:colOff>495300</xdr:colOff>
      <xdr:row>11</xdr:row>
      <xdr:rowOff>12701</xdr:rowOff>
    </xdr:to>
    <xdr:sp macro="" textlink="">
      <xdr:nvSpPr>
        <xdr:cNvPr id="2" name="Content Placeholder 4"/>
        <xdr:cNvSpPr>
          <a:spLocks/>
        </xdr:cNvSpPr>
      </xdr:nvSpPr>
      <xdr:spPr bwMode="auto">
        <a:xfrm>
          <a:off x="247650" y="171451"/>
          <a:ext cx="7264400" cy="1517650"/>
        </a:xfrm>
        <a:prstGeom prst="rect">
          <a:avLst/>
        </a:prstGeom>
        <a:solidFill>
          <a:srgbClr val="FFFFFF"/>
        </a:solidFill>
        <a:ln w="25400">
          <a:solidFill>
            <a:srgbClr val="4F81BD"/>
          </a:solidFill>
          <a:miter lim="800000"/>
          <a:headEnd/>
          <a:tailEnd/>
        </a:ln>
      </xdr:spPr>
      <xdr:txBody>
        <a:bodyPr vertOverflow="clip" wrap="square" lIns="36576" tIns="36576" rIns="0" bIns="0" anchor="t" upright="1"/>
        <a:lstStyle/>
        <a:p>
          <a:pPr algn="l" rtl="0">
            <a:defRPr sz="1000"/>
          </a:pPr>
          <a:r>
            <a:rPr lang="it-IT" sz="1400" b="0" i="0" u="none" strike="noStrike" baseline="0">
              <a:solidFill>
                <a:srgbClr val="000000"/>
              </a:solidFill>
              <a:latin typeface="Calibri"/>
            </a:rPr>
            <a:t>Siano V (0; x</a:t>
          </a:r>
          <a:r>
            <a:rPr lang="it-IT" sz="1400" b="0" i="0" u="none" strike="noStrike" baseline="-25000">
              <a:solidFill>
                <a:srgbClr val="000000"/>
              </a:solidFill>
              <a:latin typeface="Calibri"/>
            </a:rPr>
            <a:t>1</a:t>
          </a:r>
          <a:r>
            <a:rPr lang="it-IT" sz="1400" b="0" i="0" u="none" strike="noStrike" baseline="0">
              <a:solidFill>
                <a:srgbClr val="000000"/>
              </a:solidFill>
              <a:latin typeface="Calibri"/>
            </a:rPr>
            <a:t>) = 98.84, V (0; x</a:t>
          </a:r>
          <a:r>
            <a:rPr lang="it-IT" sz="1400" b="0" i="0" u="none" strike="noStrike" baseline="-25000">
              <a:solidFill>
                <a:srgbClr val="000000"/>
              </a:solidFill>
              <a:latin typeface="Calibri"/>
            </a:rPr>
            <a:t>2</a:t>
          </a:r>
          <a:r>
            <a:rPr lang="it-IT" sz="1400" b="0" i="0" u="none" strike="noStrike" baseline="0">
              <a:solidFill>
                <a:srgbClr val="000000"/>
              </a:solidFill>
              <a:latin typeface="Calibri"/>
            </a:rPr>
            <a:t>) = 192.50 e V (0; x</a:t>
          </a:r>
          <a:r>
            <a:rPr lang="it-IT" sz="1400" b="0" i="0" u="none" strike="noStrike" baseline="-25000">
              <a:solidFill>
                <a:srgbClr val="000000"/>
              </a:solidFill>
              <a:latin typeface="Calibri"/>
            </a:rPr>
            <a:t>3</a:t>
          </a:r>
          <a:r>
            <a:rPr lang="it-IT" sz="1400" b="0" i="0" u="none" strike="noStrike" baseline="0">
              <a:solidFill>
                <a:srgbClr val="000000"/>
              </a:solidFill>
              <a:latin typeface="Calibri"/>
            </a:rPr>
            <a:t>) = 277.50 i prezzi di mercato al</a:t>
          </a:r>
        </a:p>
        <a:p>
          <a:pPr algn="l" rtl="0">
            <a:defRPr sz="1000"/>
          </a:pPr>
          <a:r>
            <a:rPr lang="it-IT" sz="1400" b="0" i="0" u="none" strike="noStrike" baseline="0">
              <a:solidFill>
                <a:srgbClr val="000000"/>
              </a:solidFill>
              <a:latin typeface="Calibri"/>
            </a:rPr>
            <a:t>tempo t = 0 di tre zero coupon bond con valori di rimborso (nominali) x</a:t>
          </a:r>
          <a:r>
            <a:rPr lang="it-IT" sz="1400" b="0" i="0" u="none" strike="noStrike" baseline="-25000">
              <a:solidFill>
                <a:srgbClr val="000000"/>
              </a:solidFill>
              <a:latin typeface="Calibri"/>
            </a:rPr>
            <a:t>1</a:t>
          </a:r>
          <a:r>
            <a:rPr lang="it-IT" sz="1400" b="0" i="0" u="none" strike="noStrike" baseline="0">
              <a:solidFill>
                <a:srgbClr val="000000"/>
              </a:solidFill>
              <a:latin typeface="Calibri"/>
            </a:rPr>
            <a:t> = 100, x</a:t>
          </a:r>
          <a:r>
            <a:rPr lang="it-IT" sz="1400" b="0" i="0" u="none" strike="noStrike" baseline="-25000">
              <a:solidFill>
                <a:srgbClr val="000000"/>
              </a:solidFill>
              <a:latin typeface="Calibri"/>
            </a:rPr>
            <a:t>2</a:t>
          </a:r>
          <a:r>
            <a:rPr lang="it-IT" sz="1400" b="0" i="0" u="none" strike="noStrike" baseline="0">
              <a:solidFill>
                <a:srgbClr val="000000"/>
              </a:solidFill>
              <a:latin typeface="Calibri"/>
            </a:rPr>
            <a:t> = 200 e x</a:t>
          </a:r>
          <a:r>
            <a:rPr lang="it-IT" sz="1400" b="0" i="0" u="none" strike="noStrike" baseline="-25000">
              <a:solidFill>
                <a:srgbClr val="000000"/>
              </a:solidFill>
              <a:latin typeface="Calibri"/>
            </a:rPr>
            <a:t>3</a:t>
          </a:r>
          <a:r>
            <a:rPr lang="it-IT" sz="1400" b="0" i="0" u="none" strike="noStrike" baseline="0">
              <a:solidFill>
                <a:srgbClr val="000000"/>
              </a:solidFill>
              <a:latin typeface="Calibri"/>
            </a:rPr>
            <a:t> = 300, esigibili ai tempi t</a:t>
          </a:r>
          <a:r>
            <a:rPr lang="it-IT" sz="1400" b="0" i="0" u="none" strike="noStrike" baseline="-25000">
              <a:solidFill>
                <a:srgbClr val="000000"/>
              </a:solidFill>
              <a:latin typeface="Calibri"/>
            </a:rPr>
            <a:t>1</a:t>
          </a:r>
          <a:r>
            <a:rPr lang="it-IT" sz="1400" b="0" i="0" u="none" strike="noStrike" baseline="0">
              <a:solidFill>
                <a:srgbClr val="000000"/>
              </a:solidFill>
              <a:latin typeface="Calibri"/>
            </a:rPr>
            <a:t> = 65 giorni, t</a:t>
          </a:r>
          <a:r>
            <a:rPr lang="it-IT" sz="1400" b="0" i="0" u="none" strike="noStrike" baseline="-25000">
              <a:solidFill>
                <a:srgbClr val="000000"/>
              </a:solidFill>
              <a:latin typeface="Calibri"/>
            </a:rPr>
            <a:t>2</a:t>
          </a:r>
          <a:r>
            <a:rPr lang="it-IT" sz="1400" b="0" i="0" u="none" strike="noStrike" baseline="0">
              <a:solidFill>
                <a:srgbClr val="000000"/>
              </a:solidFill>
              <a:latin typeface="Calibri"/>
            </a:rPr>
            <a:t> = 187 giorni e t</a:t>
          </a:r>
          <a:r>
            <a:rPr lang="it-IT" sz="1400" b="0" i="0" u="none" strike="noStrike" baseline="-25000">
              <a:solidFill>
                <a:srgbClr val="000000"/>
              </a:solidFill>
              <a:latin typeface="Calibri"/>
            </a:rPr>
            <a:t>3</a:t>
          </a:r>
          <a:r>
            <a:rPr lang="it-IT" sz="1400" b="0" i="0" u="none" strike="noStrike" baseline="0">
              <a:solidFill>
                <a:srgbClr val="000000"/>
              </a:solidFill>
              <a:latin typeface="Calibri"/>
            </a:rPr>
            <a:t> = 365 giorni.</a:t>
          </a:r>
        </a:p>
        <a:p>
          <a:pPr algn="l" rtl="0">
            <a:defRPr sz="1000"/>
          </a:pPr>
          <a:r>
            <a:rPr lang="it-IT" sz="1400" b="0" i="0" u="none" strike="noStrike" baseline="0">
              <a:solidFill>
                <a:srgbClr val="000000"/>
              </a:solidFill>
              <a:latin typeface="Calibri"/>
            </a:rPr>
            <a:t>Calcolare la struttura per scadenza dei tassi di interesse a pronti e a termine uniperiodali corrispondente alla struttura dei prezzi assegnata, esprimendo i tassi su base annua ed assumendo la durata civile dell’anno (365 giorni).</a:t>
          </a:r>
        </a:p>
        <a:p>
          <a:pPr algn="l" rtl="0">
            <a:defRPr sz="1000"/>
          </a:pPr>
          <a:endParaRPr lang="it-IT" sz="1400" b="0" i="0" u="none" strike="noStrike" baseline="0">
            <a:solidFill>
              <a:srgbClr val="000000"/>
            </a:solidFill>
            <a:latin typeface="Calibri"/>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406400</xdr:colOff>
      <xdr:row>8</xdr:row>
      <xdr:rowOff>184150</xdr:rowOff>
    </xdr:to>
    <xdr:sp macro="" textlink="">
      <xdr:nvSpPr>
        <xdr:cNvPr id="2" name="Content Placeholder 4"/>
        <xdr:cNvSpPr>
          <a:spLocks/>
        </xdr:cNvSpPr>
      </xdr:nvSpPr>
      <xdr:spPr bwMode="auto">
        <a:xfrm>
          <a:off x="685800" y="190500"/>
          <a:ext cx="7264400" cy="1517650"/>
        </a:xfrm>
        <a:prstGeom prst="rect">
          <a:avLst/>
        </a:prstGeom>
        <a:solidFill>
          <a:srgbClr val="FFFFFF"/>
        </a:solidFill>
        <a:ln w="25400">
          <a:solidFill>
            <a:srgbClr val="4F81BD"/>
          </a:solidFill>
          <a:miter lim="800000"/>
          <a:headEnd/>
          <a:tailEnd/>
        </a:ln>
      </xdr:spPr>
      <xdr:txBody>
        <a:bodyPr vertOverflow="clip" wrap="square" lIns="36576" tIns="36576" rIns="0" bIns="0" anchor="t" upright="1"/>
        <a:lstStyle/>
        <a:p>
          <a:pPr algn="l" rtl="0">
            <a:defRPr sz="1000"/>
          </a:pPr>
          <a:r>
            <a:rPr lang="it-IT" sz="1400" b="0" i="0" u="none" strike="noStrike" baseline="0">
              <a:solidFill>
                <a:srgbClr val="000000"/>
              </a:solidFill>
              <a:latin typeface="Calibri"/>
            </a:rPr>
            <a:t>Siano V (0; x</a:t>
          </a:r>
          <a:r>
            <a:rPr lang="it-IT" sz="1400" b="0" i="0" u="none" strike="noStrike" baseline="-25000">
              <a:solidFill>
                <a:srgbClr val="000000"/>
              </a:solidFill>
              <a:latin typeface="Calibri"/>
            </a:rPr>
            <a:t>1</a:t>
          </a:r>
          <a:r>
            <a:rPr lang="it-IT" sz="1400" b="0" i="0" u="none" strike="noStrike" baseline="0">
              <a:solidFill>
                <a:srgbClr val="000000"/>
              </a:solidFill>
              <a:latin typeface="Calibri"/>
            </a:rPr>
            <a:t>) = 97.05, V (0; x</a:t>
          </a:r>
          <a:r>
            <a:rPr lang="it-IT" sz="1400" b="0" i="0" u="none" strike="noStrike" baseline="-25000">
              <a:solidFill>
                <a:srgbClr val="000000"/>
              </a:solidFill>
              <a:latin typeface="Calibri"/>
            </a:rPr>
            <a:t>2</a:t>
          </a:r>
          <a:r>
            <a:rPr lang="it-IT" sz="1400" b="0" i="0" u="none" strike="noStrike" baseline="0">
              <a:solidFill>
                <a:srgbClr val="000000"/>
              </a:solidFill>
              <a:latin typeface="Calibri"/>
            </a:rPr>
            <a:t>) = 125.20 e V (0; x</a:t>
          </a:r>
          <a:r>
            <a:rPr lang="it-IT" sz="1400" b="0" i="0" u="none" strike="noStrike" baseline="-25000">
              <a:solidFill>
                <a:srgbClr val="000000"/>
              </a:solidFill>
              <a:latin typeface="Calibri"/>
            </a:rPr>
            <a:t>3</a:t>
          </a:r>
          <a:r>
            <a:rPr lang="it-IT" sz="1400" b="0" i="0" u="none" strike="noStrike" baseline="0">
              <a:solidFill>
                <a:srgbClr val="000000"/>
              </a:solidFill>
              <a:latin typeface="Calibri"/>
            </a:rPr>
            <a:t>) = 141.9 i prezzi di mercato al</a:t>
          </a:r>
        </a:p>
        <a:p>
          <a:pPr algn="l" rtl="0">
            <a:defRPr sz="1000"/>
          </a:pPr>
          <a:r>
            <a:rPr lang="it-IT" sz="1400" b="0" i="0" u="none" strike="noStrike" baseline="0">
              <a:solidFill>
                <a:srgbClr val="000000"/>
              </a:solidFill>
              <a:latin typeface="Calibri"/>
            </a:rPr>
            <a:t>tempo t = 0 di tre zero coupon bond con valori di rimborso (nominali) x</a:t>
          </a:r>
          <a:r>
            <a:rPr lang="it-IT" sz="1400" b="0" i="0" u="none" strike="noStrike" baseline="-25000">
              <a:solidFill>
                <a:srgbClr val="000000"/>
              </a:solidFill>
              <a:latin typeface="Calibri"/>
            </a:rPr>
            <a:t>1</a:t>
          </a:r>
          <a:r>
            <a:rPr lang="it-IT" sz="1400" b="0" i="0" u="none" strike="noStrike" baseline="0">
              <a:solidFill>
                <a:srgbClr val="000000"/>
              </a:solidFill>
              <a:latin typeface="Calibri"/>
            </a:rPr>
            <a:t> = 100, x</a:t>
          </a:r>
          <a:r>
            <a:rPr lang="it-IT" sz="1400" b="0" i="0" u="none" strike="noStrike" baseline="-25000">
              <a:solidFill>
                <a:srgbClr val="000000"/>
              </a:solidFill>
              <a:latin typeface="Calibri"/>
            </a:rPr>
            <a:t>2</a:t>
          </a:r>
          <a:r>
            <a:rPr lang="it-IT" sz="1400" b="0" i="0" u="none" strike="noStrike" baseline="0">
              <a:solidFill>
                <a:srgbClr val="000000"/>
              </a:solidFill>
              <a:latin typeface="Calibri"/>
            </a:rPr>
            <a:t> = 135 e x</a:t>
          </a:r>
          <a:r>
            <a:rPr lang="it-IT" sz="1400" b="0" i="0" u="none" strike="noStrike" baseline="-25000">
              <a:solidFill>
                <a:srgbClr val="000000"/>
              </a:solidFill>
              <a:latin typeface="Calibri"/>
            </a:rPr>
            <a:t>3</a:t>
          </a:r>
          <a:r>
            <a:rPr lang="it-IT" sz="1400" b="0" i="0" u="none" strike="noStrike" baseline="0">
              <a:solidFill>
                <a:srgbClr val="000000"/>
              </a:solidFill>
              <a:latin typeface="Calibri"/>
            </a:rPr>
            <a:t> = 170 euro, esigibili ai tempi t</a:t>
          </a:r>
          <a:r>
            <a:rPr lang="it-IT" sz="1400" b="0" i="0" u="none" strike="noStrike" baseline="-25000">
              <a:solidFill>
                <a:srgbClr val="000000"/>
              </a:solidFill>
              <a:latin typeface="Calibri"/>
            </a:rPr>
            <a:t>1</a:t>
          </a:r>
          <a:r>
            <a:rPr lang="it-IT" sz="1400" b="0" i="0" u="none" strike="noStrike" baseline="0">
              <a:solidFill>
                <a:srgbClr val="000000"/>
              </a:solidFill>
              <a:latin typeface="Calibri"/>
            </a:rPr>
            <a:t> = 90 giorni, t</a:t>
          </a:r>
          <a:r>
            <a:rPr lang="it-IT" sz="1400" b="0" i="0" u="none" strike="noStrike" baseline="-25000">
              <a:solidFill>
                <a:srgbClr val="000000"/>
              </a:solidFill>
              <a:latin typeface="Calibri"/>
            </a:rPr>
            <a:t>2</a:t>
          </a:r>
          <a:r>
            <a:rPr lang="it-IT" sz="1400" b="0" i="0" u="none" strike="noStrike" baseline="0">
              <a:solidFill>
                <a:srgbClr val="000000"/>
              </a:solidFill>
              <a:latin typeface="Calibri"/>
            </a:rPr>
            <a:t> = 180 giorni e t</a:t>
          </a:r>
          <a:r>
            <a:rPr lang="it-IT" sz="1400" b="0" i="0" u="none" strike="noStrike" baseline="-25000">
              <a:solidFill>
                <a:srgbClr val="000000"/>
              </a:solidFill>
              <a:latin typeface="Calibri"/>
            </a:rPr>
            <a:t>3</a:t>
          </a:r>
          <a:r>
            <a:rPr lang="it-IT" sz="1400" b="0" i="0" u="none" strike="noStrike" baseline="0">
              <a:solidFill>
                <a:srgbClr val="000000"/>
              </a:solidFill>
              <a:latin typeface="Calibri"/>
            </a:rPr>
            <a:t> = 360 giorni.</a:t>
          </a:r>
        </a:p>
        <a:p>
          <a:pPr algn="l" rtl="0">
            <a:defRPr sz="1000"/>
          </a:pPr>
          <a:r>
            <a:rPr lang="it-IT" sz="1400" b="0" i="0" u="none" strike="noStrike" baseline="0">
              <a:solidFill>
                <a:srgbClr val="000000"/>
              </a:solidFill>
              <a:latin typeface="Calibri"/>
            </a:rPr>
            <a:t>Calcolare la struttura per scadenza dei prezzi e dei tassi a pronti e a termine, assumendo la durata commerciale dell’anno (360 giorni).</a:t>
          </a:r>
        </a:p>
        <a:p>
          <a:pPr algn="l" rtl="0">
            <a:defRPr sz="1000"/>
          </a:pPr>
          <a:endParaRPr lang="it-IT" sz="14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H25"/>
  <sheetViews>
    <sheetView zoomScale="136" zoomScaleNormal="136" workbookViewId="0">
      <selection activeCell="H26" sqref="H26"/>
    </sheetView>
  </sheetViews>
  <sheetFormatPr defaultColWidth="9.109375" defaultRowHeight="13.2" x14ac:dyDescent="0.25"/>
  <cols>
    <col min="1" max="1" width="9.109375" style="1"/>
    <col min="2" max="2" width="10.109375" style="1" bestFit="1" customWidth="1"/>
    <col min="3" max="4" width="11.6640625" style="1" bestFit="1" customWidth="1"/>
    <col min="5" max="5" width="9.109375" style="1"/>
    <col min="6" max="6" width="10.33203125" style="1" bestFit="1" customWidth="1"/>
    <col min="7" max="7" width="9.109375" style="1"/>
    <col min="8" max="8" width="12.33203125" style="1" bestFit="1" customWidth="1"/>
    <col min="9" max="16384" width="9.109375" style="1"/>
  </cols>
  <sheetData>
    <row r="14" spans="2:8" ht="15" x14ac:dyDescent="0.25">
      <c r="B14" s="36" t="s">
        <v>79</v>
      </c>
      <c r="C14" s="36" t="s">
        <v>1</v>
      </c>
      <c r="D14" s="36" t="s">
        <v>2</v>
      </c>
      <c r="E14" s="36" t="s">
        <v>3</v>
      </c>
      <c r="F14" s="36" t="s">
        <v>4</v>
      </c>
      <c r="G14" s="36" t="s">
        <v>5</v>
      </c>
      <c r="H14" s="36" t="s">
        <v>6</v>
      </c>
    </row>
    <row r="15" spans="2:8" ht="15" x14ac:dyDescent="0.25">
      <c r="B15" s="37">
        <v>0</v>
      </c>
      <c r="C15" s="38"/>
      <c r="D15" s="38"/>
      <c r="E15" s="38"/>
      <c r="F15" s="38"/>
      <c r="G15" s="38"/>
      <c r="H15" s="38"/>
    </row>
    <row r="16" spans="2:8" ht="15.6" x14ac:dyDescent="0.3">
      <c r="B16" s="39">
        <v>1</v>
      </c>
      <c r="C16" s="40">
        <v>99.96</v>
      </c>
      <c r="D16" s="40">
        <v>100</v>
      </c>
      <c r="E16" s="41">
        <f>C16/D16</f>
        <v>0.99959999999999993</v>
      </c>
      <c r="F16" s="42">
        <f>(1/E16)^(1/B16)-1</f>
        <v>4.0016006402576743E-4</v>
      </c>
      <c r="G16" s="41">
        <f>E16</f>
        <v>0.99959999999999993</v>
      </c>
      <c r="H16" s="43">
        <f>F16</f>
        <v>4.0016006402576743E-4</v>
      </c>
    </row>
    <row r="17" spans="2:8" ht="15.6" x14ac:dyDescent="0.3">
      <c r="B17" s="39">
        <v>2</v>
      </c>
      <c r="C17" s="40">
        <v>190.25</v>
      </c>
      <c r="D17" s="40">
        <v>200</v>
      </c>
      <c r="E17" s="41">
        <f>C17/D17</f>
        <v>0.95125000000000004</v>
      </c>
      <c r="F17" s="42">
        <f>(1/E17)^(1/B17)-1</f>
        <v>2.5304031702032104E-2</v>
      </c>
      <c r="G17" s="41">
        <f>E17/E16</f>
        <v>0.95163065226090449</v>
      </c>
      <c r="H17" s="44">
        <f>(1/G17)^(1/(B17-B16))-1</f>
        <v>5.0827858081471611E-2</v>
      </c>
    </row>
    <row r="18" spans="2:8" ht="15.6" x14ac:dyDescent="0.3">
      <c r="B18" s="39">
        <v>3</v>
      </c>
      <c r="C18" s="40">
        <v>270.5</v>
      </c>
      <c r="D18" s="40">
        <v>300</v>
      </c>
      <c r="E18" s="41">
        <f>C18/D18</f>
        <v>0.90166666666666662</v>
      </c>
      <c r="F18" s="42">
        <f>(1/E18)^(1/B18)-1</f>
        <v>3.5105608582735037E-2</v>
      </c>
      <c r="G18" s="41">
        <f>E18/E17</f>
        <v>0.94787560227770473</v>
      </c>
      <c r="H18" s="44">
        <f>(1/G18)^(1/(B18-B17))-1</f>
        <v>5.4990757855822636E-2</v>
      </c>
    </row>
    <row r="21" spans="2:8" ht="15" x14ac:dyDescent="0.25">
      <c r="B21" s="36" t="s">
        <v>146</v>
      </c>
      <c r="C21" s="36" t="s">
        <v>1</v>
      </c>
      <c r="D21" s="36" t="s">
        <v>2</v>
      </c>
      <c r="E21" s="36" t="s">
        <v>3</v>
      </c>
      <c r="F21" s="36" t="s">
        <v>4</v>
      </c>
      <c r="G21" s="36" t="s">
        <v>5</v>
      </c>
      <c r="H21" s="36" t="s">
        <v>6</v>
      </c>
    </row>
    <row r="22" spans="2:8" ht="15" x14ac:dyDescent="0.25">
      <c r="B22" s="37">
        <v>0</v>
      </c>
      <c r="C22" s="38"/>
      <c r="D22" s="38"/>
      <c r="E22" s="38"/>
      <c r="F22" s="38"/>
      <c r="G22" s="38"/>
      <c r="H22" s="38"/>
    </row>
    <row r="23" spans="2:8" ht="15.6" x14ac:dyDescent="0.3">
      <c r="B23" s="39">
        <v>1</v>
      </c>
      <c r="C23" s="40">
        <v>99.96</v>
      </c>
      <c r="D23" s="40">
        <v>100</v>
      </c>
      <c r="E23" s="41">
        <f>C23/D23</f>
        <v>0.99959999999999993</v>
      </c>
      <c r="F23" s="42">
        <f>(1/E23)^(1/(B23/2))-1</f>
        <v>8.0048025612833307E-4</v>
      </c>
      <c r="G23" s="41">
        <f>E23</f>
        <v>0.99959999999999993</v>
      </c>
      <c r="H23" s="43">
        <f>F23</f>
        <v>8.0048025612833307E-4</v>
      </c>
    </row>
    <row r="24" spans="2:8" ht="15.6" x14ac:dyDescent="0.3">
      <c r="B24" s="39">
        <v>2</v>
      </c>
      <c r="C24" s="40">
        <v>190.25</v>
      </c>
      <c r="D24" s="40">
        <v>200</v>
      </c>
      <c r="E24" s="41">
        <f>C24/D24</f>
        <v>0.95125000000000004</v>
      </c>
      <c r="F24" s="42">
        <f>(1/E24)^(1/(B24/2))-1</f>
        <v>5.124835742444156E-2</v>
      </c>
      <c r="G24" s="41">
        <f>E24/E23</f>
        <v>0.95163065226090449</v>
      </c>
      <c r="H24" s="44">
        <f>(1/G24)^(1/((B24-B23)/2))-1</f>
        <v>0.10423918732009341</v>
      </c>
    </row>
    <row r="25" spans="2:8" ht="15.6" x14ac:dyDescent="0.3">
      <c r="B25" s="39">
        <v>3</v>
      </c>
      <c r="C25" s="40">
        <v>270.5</v>
      </c>
      <c r="D25" s="40">
        <v>300</v>
      </c>
      <c r="E25" s="41">
        <f>C25/D25</f>
        <v>0.90166666666666662</v>
      </c>
      <c r="F25" s="42">
        <f>(1/E25)^(1/(B25/2))-1</f>
        <v>7.1443620919434236E-2</v>
      </c>
      <c r="G25" s="41">
        <f>E25/E24</f>
        <v>0.94787560227770473</v>
      </c>
      <c r="H25" s="44">
        <f>(1/G25)^(1/((B25-B24)/2))-1</f>
        <v>0.11300549916120306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I27"/>
  <sheetViews>
    <sheetView tabSelected="1" workbookViewId="0">
      <selection activeCell="E22" sqref="E22"/>
    </sheetView>
  </sheetViews>
  <sheetFormatPr defaultRowHeight="14.4" x14ac:dyDescent="0.3"/>
  <cols>
    <col min="2" max="2" width="10.33203125" bestFit="1" customWidth="1"/>
    <col min="4" max="4" width="18.109375" bestFit="1" customWidth="1"/>
    <col min="5" max="5" width="9.33203125" bestFit="1" customWidth="1"/>
    <col min="8" max="8" width="12.5546875" bestFit="1" customWidth="1"/>
  </cols>
  <sheetData>
    <row r="16" spans="2:9" ht="18" x14ac:dyDescent="0.35">
      <c r="B16" s="88" t="s">
        <v>97</v>
      </c>
      <c r="C16" s="88" t="s">
        <v>98</v>
      </c>
      <c r="D16" s="88" t="s">
        <v>107</v>
      </c>
      <c r="E16" s="88" t="s">
        <v>109</v>
      </c>
      <c r="F16" s="88" t="s">
        <v>108</v>
      </c>
      <c r="G16" s="144" t="s">
        <v>99</v>
      </c>
      <c r="H16" s="88" t="s">
        <v>7</v>
      </c>
      <c r="I16" s="88" t="s">
        <v>64</v>
      </c>
    </row>
    <row r="17" spans="2:9" ht="18" x14ac:dyDescent="0.35">
      <c r="B17" s="82">
        <v>0</v>
      </c>
      <c r="C17" s="82"/>
      <c r="D17" s="83">
        <v>-147</v>
      </c>
      <c r="E17" s="83">
        <v>-96</v>
      </c>
      <c r="F17" s="82"/>
      <c r="G17" s="82"/>
      <c r="H17" s="177"/>
      <c r="I17" s="177"/>
    </row>
    <row r="18" spans="2:9" ht="18" x14ac:dyDescent="0.35">
      <c r="B18" s="82">
        <v>1</v>
      </c>
      <c r="C18" s="82">
        <f>B18/4</f>
        <v>0.25</v>
      </c>
      <c r="D18" s="83">
        <v>150</v>
      </c>
      <c r="E18" s="82"/>
      <c r="F18" s="82"/>
      <c r="G18" s="82">
        <f>-D17/D18</f>
        <v>0.98</v>
      </c>
      <c r="H18" s="177"/>
      <c r="I18" s="177"/>
    </row>
    <row r="19" spans="2:9" ht="18" x14ac:dyDescent="0.35">
      <c r="B19" s="82">
        <v>2</v>
      </c>
      <c r="C19" s="82">
        <f t="shared" ref="C19:C20" si="0">B19/4</f>
        <v>0.5</v>
      </c>
      <c r="D19" s="82"/>
      <c r="E19" s="83">
        <v>100</v>
      </c>
      <c r="F19" s="83">
        <v>-192</v>
      </c>
      <c r="G19" s="82">
        <f>-E17/E19</f>
        <v>0.96</v>
      </c>
      <c r="H19" s="82"/>
      <c r="I19" s="82">
        <v>10</v>
      </c>
    </row>
    <row r="20" spans="2:9" ht="18" x14ac:dyDescent="0.35">
      <c r="B20" s="82">
        <v>4</v>
      </c>
      <c r="C20" s="82">
        <f t="shared" si="0"/>
        <v>1</v>
      </c>
      <c r="D20" s="82"/>
      <c r="E20" s="82"/>
      <c r="F20" s="83">
        <v>200</v>
      </c>
      <c r="G20" s="82"/>
      <c r="H20" s="82">
        <v>1</v>
      </c>
      <c r="I20" s="82">
        <v>10</v>
      </c>
    </row>
    <row r="22" spans="2:9" ht="18" x14ac:dyDescent="0.35">
      <c r="B22" s="81" t="s">
        <v>101</v>
      </c>
      <c r="C22" s="178" t="s">
        <v>105</v>
      </c>
      <c r="D22" s="81" t="s">
        <v>102</v>
      </c>
      <c r="E22" s="179">
        <f>E23/G18</f>
        <v>0.94040816326530607</v>
      </c>
      <c r="F22" s="81"/>
      <c r="G22" s="143" t="s">
        <v>106</v>
      </c>
      <c r="H22" s="85">
        <f>(1/E22)^(1/(C20-C18))-1</f>
        <v>8.5370831696208516E-2</v>
      </c>
    </row>
    <row r="23" spans="2:9" ht="18" x14ac:dyDescent="0.35">
      <c r="B23" s="81" t="s">
        <v>103</v>
      </c>
      <c r="C23" s="178" t="s">
        <v>105</v>
      </c>
      <c r="D23" s="81" t="s">
        <v>104</v>
      </c>
      <c r="E23" s="179">
        <f>E24*G19</f>
        <v>0.92159999999999997</v>
      </c>
      <c r="F23" s="81"/>
      <c r="G23" s="81"/>
      <c r="H23" s="81"/>
    </row>
    <row r="24" spans="2:9" ht="18" x14ac:dyDescent="0.35">
      <c r="B24" s="81" t="s">
        <v>100</v>
      </c>
      <c r="C24" s="178" t="s">
        <v>105</v>
      </c>
      <c r="D24" s="178"/>
      <c r="E24" s="179">
        <f>-F19/F20</f>
        <v>0.96</v>
      </c>
      <c r="F24" s="81"/>
      <c r="G24" s="81"/>
      <c r="H24" s="81"/>
    </row>
    <row r="25" spans="2:9" ht="18" x14ac:dyDescent="0.35">
      <c r="B25" s="81"/>
      <c r="C25" s="81"/>
      <c r="D25" s="81"/>
      <c r="E25" s="81"/>
      <c r="F25" s="81"/>
      <c r="G25" s="81"/>
      <c r="H25" s="81"/>
    </row>
    <row r="26" spans="2:9" ht="18" x14ac:dyDescent="0.35">
      <c r="B26" s="143" t="s">
        <v>110</v>
      </c>
      <c r="C26" s="87">
        <f>E23</f>
        <v>0.92159999999999997</v>
      </c>
    </row>
    <row r="27" spans="2:9" ht="18" x14ac:dyDescent="0.35">
      <c r="B27" s="143" t="s">
        <v>111</v>
      </c>
      <c r="C27" s="82">
        <f>I19*G19+I20*E23</f>
        <v>18.815999999999999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9"/>
  <sheetViews>
    <sheetView workbookViewId="0">
      <selection activeCell="B2" sqref="B2:N14"/>
    </sheetView>
  </sheetViews>
  <sheetFormatPr defaultRowHeight="14.4" x14ac:dyDescent="0.3"/>
  <cols>
    <col min="4" max="4" width="10" bestFit="1" customWidth="1"/>
    <col min="8" max="8" width="12" bestFit="1" customWidth="1"/>
    <col min="9" max="9" width="11.109375" bestFit="1" customWidth="1"/>
    <col min="10" max="10" width="11.6640625" bestFit="1" customWidth="1"/>
    <col min="11" max="11" width="11.109375" bestFit="1" customWidth="1"/>
  </cols>
  <sheetData>
    <row r="2" spans="2:14" ht="15" customHeight="1" x14ac:dyDescent="0.3">
      <c r="B2" s="209" t="s">
        <v>147</v>
      </c>
      <c r="C2" s="209"/>
      <c r="D2" s="209"/>
      <c r="E2" s="209"/>
      <c r="F2" s="209"/>
      <c r="G2" s="209"/>
      <c r="H2" s="209"/>
      <c r="I2" s="209"/>
      <c r="J2" s="209"/>
      <c r="K2" s="209"/>
      <c r="L2" s="209"/>
      <c r="M2" s="209"/>
      <c r="N2" s="209"/>
    </row>
    <row r="3" spans="2:14" ht="15" customHeight="1" x14ac:dyDescent="0.3">
      <c r="B3" s="209"/>
      <c r="C3" s="209"/>
      <c r="D3" s="209"/>
      <c r="E3" s="209"/>
      <c r="F3" s="209"/>
      <c r="G3" s="209"/>
      <c r="H3" s="209"/>
      <c r="I3" s="209"/>
      <c r="J3" s="209"/>
      <c r="K3" s="209"/>
      <c r="L3" s="209"/>
      <c r="M3" s="209"/>
      <c r="N3" s="209"/>
    </row>
    <row r="4" spans="2:14" ht="15" customHeight="1" x14ac:dyDescent="0.3">
      <c r="B4" s="209"/>
      <c r="C4" s="209"/>
      <c r="D4" s="209"/>
      <c r="E4" s="209"/>
      <c r="F4" s="209"/>
      <c r="G4" s="209"/>
      <c r="H4" s="209"/>
      <c r="I4" s="209"/>
      <c r="J4" s="209"/>
      <c r="K4" s="209"/>
      <c r="L4" s="209"/>
      <c r="M4" s="209"/>
      <c r="N4" s="209"/>
    </row>
    <row r="5" spans="2:14" ht="15" customHeight="1" x14ac:dyDescent="0.3">
      <c r="B5" s="209"/>
      <c r="C5" s="209"/>
      <c r="D5" s="209"/>
      <c r="E5" s="209"/>
      <c r="F5" s="209"/>
      <c r="G5" s="209"/>
      <c r="H5" s="209"/>
      <c r="I5" s="209"/>
      <c r="J5" s="209"/>
      <c r="K5" s="209"/>
      <c r="L5" s="209"/>
      <c r="M5" s="209"/>
      <c r="N5" s="209"/>
    </row>
    <row r="6" spans="2:14" ht="15" customHeight="1" x14ac:dyDescent="0.3">
      <c r="B6" s="209"/>
      <c r="C6" s="209"/>
      <c r="D6" s="209"/>
      <c r="E6" s="209"/>
      <c r="F6" s="209"/>
      <c r="G6" s="209"/>
      <c r="H6" s="209"/>
      <c r="I6" s="209"/>
      <c r="J6" s="209"/>
      <c r="K6" s="209"/>
      <c r="L6" s="209"/>
      <c r="M6" s="209"/>
      <c r="N6" s="209"/>
    </row>
    <row r="7" spans="2:14" ht="15" customHeight="1" x14ac:dyDescent="0.3">
      <c r="B7" s="209"/>
      <c r="C7" s="209"/>
      <c r="D7" s="209"/>
      <c r="E7" s="209"/>
      <c r="F7" s="209"/>
      <c r="G7" s="209"/>
      <c r="H7" s="209"/>
      <c r="I7" s="209"/>
      <c r="J7" s="209"/>
      <c r="K7" s="209"/>
      <c r="L7" s="209"/>
      <c r="M7" s="209"/>
      <c r="N7" s="209"/>
    </row>
    <row r="8" spans="2:14" ht="15" customHeight="1" x14ac:dyDescent="0.3">
      <c r="B8" s="209"/>
      <c r="C8" s="209"/>
      <c r="D8" s="209"/>
      <c r="E8" s="209"/>
      <c r="F8" s="209"/>
      <c r="G8" s="209"/>
      <c r="H8" s="209"/>
      <c r="I8" s="209"/>
      <c r="J8" s="209"/>
      <c r="K8" s="209"/>
      <c r="L8" s="209"/>
      <c r="M8" s="209"/>
      <c r="N8" s="209"/>
    </row>
    <row r="9" spans="2:14" ht="15" customHeight="1" x14ac:dyDescent="0.3">
      <c r="B9" s="209"/>
      <c r="C9" s="209"/>
      <c r="D9" s="209"/>
      <c r="E9" s="209"/>
      <c r="F9" s="209"/>
      <c r="G9" s="209"/>
      <c r="H9" s="209"/>
      <c r="I9" s="209"/>
      <c r="J9" s="209"/>
      <c r="K9" s="209"/>
      <c r="L9" s="209"/>
      <c r="M9" s="209"/>
      <c r="N9" s="209"/>
    </row>
    <row r="10" spans="2:14" ht="15" customHeight="1" x14ac:dyDescent="0.3">
      <c r="B10" s="209"/>
      <c r="C10" s="209"/>
      <c r="D10" s="209"/>
      <c r="E10" s="209"/>
      <c r="F10" s="209"/>
      <c r="G10" s="209"/>
      <c r="H10" s="209"/>
      <c r="I10" s="209"/>
      <c r="J10" s="209"/>
      <c r="K10" s="209"/>
      <c r="L10" s="209"/>
      <c r="M10" s="209"/>
      <c r="N10" s="209"/>
    </row>
    <row r="11" spans="2:14" ht="15" customHeight="1" x14ac:dyDescent="0.3">
      <c r="B11" s="209"/>
      <c r="C11" s="209"/>
      <c r="D11" s="209"/>
      <c r="E11" s="209"/>
      <c r="F11" s="209"/>
      <c r="G11" s="209"/>
      <c r="H11" s="209"/>
      <c r="I11" s="209"/>
      <c r="J11" s="209"/>
      <c r="K11" s="209"/>
      <c r="L11" s="209"/>
      <c r="M11" s="209"/>
      <c r="N11" s="209"/>
    </row>
    <row r="12" spans="2:14" ht="15" customHeight="1" x14ac:dyDescent="0.3">
      <c r="B12" s="209"/>
      <c r="C12" s="209"/>
      <c r="D12" s="209"/>
      <c r="E12" s="209"/>
      <c r="F12" s="209"/>
      <c r="G12" s="209"/>
      <c r="H12" s="209"/>
      <c r="I12" s="209"/>
      <c r="J12" s="209"/>
      <c r="K12" s="209"/>
      <c r="L12" s="209"/>
      <c r="M12" s="209"/>
      <c r="N12" s="209"/>
    </row>
    <row r="13" spans="2:14" ht="15" customHeight="1" x14ac:dyDescent="0.3">
      <c r="B13" s="209"/>
      <c r="C13" s="209"/>
      <c r="D13" s="209"/>
      <c r="E13" s="209"/>
      <c r="F13" s="209"/>
      <c r="G13" s="209"/>
      <c r="H13" s="209"/>
      <c r="I13" s="209"/>
      <c r="J13" s="209"/>
      <c r="K13" s="209"/>
      <c r="L13" s="209"/>
      <c r="M13" s="209"/>
      <c r="N13" s="209"/>
    </row>
    <row r="14" spans="2:14" ht="15" customHeight="1" x14ac:dyDescent="0.3">
      <c r="B14" s="209"/>
      <c r="C14" s="209"/>
      <c r="D14" s="209"/>
      <c r="E14" s="209"/>
      <c r="F14" s="209"/>
      <c r="G14" s="209"/>
      <c r="H14" s="209"/>
      <c r="I14" s="209"/>
      <c r="J14" s="209"/>
      <c r="K14" s="209"/>
      <c r="L14" s="209"/>
      <c r="M14" s="209"/>
      <c r="N14" s="209"/>
    </row>
    <row r="15" spans="2:14" ht="15" customHeight="1" x14ac:dyDescent="0.3">
      <c r="B15" s="154"/>
      <c r="C15" s="155"/>
      <c r="D15" s="155"/>
      <c r="E15" s="155"/>
      <c r="F15" s="155"/>
      <c r="G15" s="155"/>
      <c r="H15" s="155"/>
      <c r="I15" s="155"/>
      <c r="J15" s="155"/>
      <c r="K15" s="155"/>
      <c r="L15" s="155"/>
      <c r="M15" s="155"/>
      <c r="N15" s="155"/>
    </row>
    <row r="16" spans="2:14" x14ac:dyDescent="0.3">
      <c r="K16" s="142"/>
    </row>
    <row r="17" spans="3:11" ht="18" x14ac:dyDescent="0.35">
      <c r="C17" s="88" t="s">
        <v>0</v>
      </c>
      <c r="D17" s="88" t="s">
        <v>7</v>
      </c>
      <c r="E17" s="88" t="s">
        <v>64</v>
      </c>
      <c r="F17" s="88" t="s">
        <v>70</v>
      </c>
      <c r="G17" s="143" t="s">
        <v>3</v>
      </c>
      <c r="H17" s="143" t="s">
        <v>5</v>
      </c>
      <c r="I17" s="144" t="s">
        <v>4</v>
      </c>
      <c r="J17" s="144" t="s">
        <v>6</v>
      </c>
      <c r="K17" s="157"/>
    </row>
    <row r="18" spans="3:11" ht="18" x14ac:dyDescent="0.35">
      <c r="C18" s="86">
        <v>0</v>
      </c>
      <c r="D18" s="83">
        <v>95.75</v>
      </c>
      <c r="E18" s="83"/>
      <c r="F18" s="83"/>
      <c r="G18" s="82"/>
      <c r="H18" s="82"/>
      <c r="I18" s="82"/>
      <c r="J18" s="82"/>
      <c r="K18" s="158"/>
    </row>
    <row r="19" spans="3:11" ht="18" x14ac:dyDescent="0.35">
      <c r="C19" s="86">
        <v>1</v>
      </c>
      <c r="D19" s="83">
        <v>100</v>
      </c>
      <c r="E19" s="83">
        <v>188</v>
      </c>
      <c r="F19" s="83">
        <v>173.5</v>
      </c>
      <c r="G19" s="87">
        <f>D18/D19</f>
        <v>0.95750000000000002</v>
      </c>
      <c r="H19" s="87">
        <f>G19</f>
        <v>0.95750000000000002</v>
      </c>
      <c r="I19" s="85">
        <f>(1/G19)^(1/C19)-1</f>
        <v>4.4386422976501194E-2</v>
      </c>
      <c r="J19" s="85">
        <f>I19</f>
        <v>4.4386422976501194E-2</v>
      </c>
      <c r="K19" s="158"/>
    </row>
    <row r="20" spans="3:11" ht="18" x14ac:dyDescent="0.35">
      <c r="C20" s="86">
        <v>2</v>
      </c>
      <c r="D20" s="83"/>
      <c r="E20" s="83">
        <v>200</v>
      </c>
      <c r="F20" s="83"/>
      <c r="G20" s="87">
        <f>G19*H20</f>
        <v>0.90005000000000002</v>
      </c>
      <c r="H20" s="87">
        <f>E19/E20</f>
        <v>0.94</v>
      </c>
      <c r="I20" s="85">
        <f t="shared" ref="I20:I21" si="0">(1/G20)^(1/C20)-1</f>
        <v>5.4063274260712557E-2</v>
      </c>
      <c r="J20" s="85">
        <f>(1/H20)^(1/(C20-C19))-1</f>
        <v>6.3829787234042534E-2</v>
      </c>
      <c r="K20" s="158"/>
    </row>
    <row r="21" spans="3:11" ht="18" x14ac:dyDescent="0.35">
      <c r="C21" s="86">
        <v>3</v>
      </c>
      <c r="D21" s="83"/>
      <c r="E21" s="83"/>
      <c r="F21" s="83">
        <v>200</v>
      </c>
      <c r="G21" s="87">
        <f>G19*F19/F21</f>
        <v>0.83063125000000004</v>
      </c>
      <c r="H21" s="87">
        <f>G21/G20</f>
        <v>0.9228723404255319</v>
      </c>
      <c r="I21" s="85">
        <f t="shared" si="0"/>
        <v>6.3809615061535485E-2</v>
      </c>
      <c r="J21" s="85">
        <f>(1/H21)^(1/(C21-C20))-1</f>
        <v>8.35734870317002E-2</v>
      </c>
      <c r="K21" s="159"/>
    </row>
    <row r="24" spans="3:11" ht="15" customHeight="1" x14ac:dyDescent="0.3">
      <c r="C24" s="155"/>
      <c r="D24" s="155"/>
      <c r="E24" s="155"/>
      <c r="F24" s="155"/>
      <c r="G24" s="155"/>
      <c r="H24" s="155"/>
      <c r="I24" s="155"/>
      <c r="J24" s="155"/>
      <c r="K24" s="155"/>
    </row>
    <row r="25" spans="3:11" ht="15" customHeight="1" x14ac:dyDescent="0.3">
      <c r="C25" s="155"/>
      <c r="D25" s="155"/>
      <c r="E25" s="155"/>
      <c r="F25" s="155"/>
      <c r="G25" s="155"/>
      <c r="H25" s="155"/>
      <c r="I25" s="155"/>
      <c r="J25" s="155"/>
      <c r="K25" s="155"/>
    </row>
    <row r="26" spans="3:11" ht="15" customHeight="1" x14ac:dyDescent="0.3">
      <c r="C26" s="155"/>
      <c r="D26" s="155"/>
      <c r="E26" s="155"/>
      <c r="F26" s="155"/>
      <c r="G26" s="155"/>
      <c r="H26" s="155"/>
      <c r="I26" s="155"/>
      <c r="J26" s="155"/>
      <c r="K26" s="155"/>
    </row>
    <row r="27" spans="3:11" ht="15" customHeight="1" x14ac:dyDescent="0.3">
      <c r="C27" s="155"/>
      <c r="D27" s="155"/>
      <c r="E27" s="155"/>
      <c r="F27" s="155"/>
      <c r="G27" s="155"/>
      <c r="H27" s="155"/>
      <c r="I27" s="155"/>
      <c r="J27" s="155"/>
      <c r="K27" s="155"/>
    </row>
    <row r="29" spans="3:11" ht="18" x14ac:dyDescent="0.35">
      <c r="C29" s="156"/>
      <c r="D29" s="160"/>
    </row>
  </sheetData>
  <mergeCells count="1">
    <mergeCell ref="B2:N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7"/>
  <sheetViews>
    <sheetView workbookViewId="0">
      <selection activeCell="H18" sqref="H18"/>
    </sheetView>
  </sheetViews>
  <sheetFormatPr defaultRowHeight="18" x14ac:dyDescent="0.35"/>
  <cols>
    <col min="1" max="16384" width="8.88671875" style="81"/>
  </cols>
  <sheetData>
    <row r="2" spans="2:12" x14ac:dyDescent="0.35">
      <c r="B2" s="209" t="s">
        <v>150</v>
      </c>
      <c r="C2" s="209"/>
      <c r="D2" s="209"/>
      <c r="E2" s="209"/>
      <c r="F2" s="209"/>
      <c r="G2" s="209"/>
      <c r="H2" s="209"/>
      <c r="I2" s="209"/>
      <c r="J2" s="209"/>
      <c r="K2" s="209"/>
      <c r="L2" s="209"/>
    </row>
    <row r="3" spans="2:12" x14ac:dyDescent="0.35">
      <c r="B3" s="209"/>
      <c r="C3" s="209"/>
      <c r="D3" s="209"/>
      <c r="E3" s="209"/>
      <c r="F3" s="209"/>
      <c r="G3" s="209"/>
      <c r="H3" s="209"/>
      <c r="I3" s="209"/>
      <c r="J3" s="209"/>
      <c r="K3" s="209"/>
      <c r="L3" s="209"/>
    </row>
    <row r="4" spans="2:12" x14ac:dyDescent="0.35">
      <c r="B4" s="209"/>
      <c r="C4" s="209"/>
      <c r="D4" s="209"/>
      <c r="E4" s="209"/>
      <c r="F4" s="209"/>
      <c r="G4" s="209"/>
      <c r="H4" s="209"/>
      <c r="I4" s="209"/>
      <c r="J4" s="209"/>
      <c r="K4" s="209"/>
      <c r="L4" s="209"/>
    </row>
    <row r="5" spans="2:12" x14ac:dyDescent="0.35">
      <c r="B5" s="209"/>
      <c r="C5" s="209"/>
      <c r="D5" s="209"/>
      <c r="E5" s="209"/>
      <c r="F5" s="209"/>
      <c r="G5" s="209"/>
      <c r="H5" s="209"/>
      <c r="I5" s="209"/>
      <c r="J5" s="209"/>
      <c r="K5" s="209"/>
      <c r="L5" s="209"/>
    </row>
    <row r="6" spans="2:12" x14ac:dyDescent="0.35">
      <c r="B6" s="209"/>
      <c r="C6" s="209"/>
      <c r="D6" s="209"/>
      <c r="E6" s="209"/>
      <c r="F6" s="209"/>
      <c r="G6" s="209"/>
      <c r="H6" s="209"/>
      <c r="I6" s="209"/>
      <c r="J6" s="209"/>
      <c r="K6" s="209"/>
      <c r="L6" s="209"/>
    </row>
    <row r="7" spans="2:12" x14ac:dyDescent="0.35">
      <c r="B7" s="209"/>
      <c r="C7" s="209"/>
      <c r="D7" s="209"/>
      <c r="E7" s="209"/>
      <c r="F7" s="209"/>
      <c r="G7" s="209"/>
      <c r="H7" s="209"/>
      <c r="I7" s="209"/>
      <c r="J7" s="209"/>
      <c r="K7" s="209"/>
      <c r="L7" s="209"/>
    </row>
    <row r="8" spans="2:12" x14ac:dyDescent="0.35">
      <c r="B8" s="209"/>
      <c r="C8" s="209"/>
      <c r="D8" s="209"/>
      <c r="E8" s="209"/>
      <c r="F8" s="209"/>
      <c r="G8" s="209"/>
      <c r="H8" s="209"/>
      <c r="I8" s="209"/>
      <c r="J8" s="209"/>
      <c r="K8" s="209"/>
      <c r="L8" s="209"/>
    </row>
    <row r="9" spans="2:12" x14ac:dyDescent="0.35">
      <c r="B9" s="209"/>
      <c r="C9" s="209"/>
      <c r="D9" s="209"/>
      <c r="E9" s="209"/>
      <c r="F9" s="209"/>
      <c r="G9" s="209"/>
      <c r="H9" s="209"/>
      <c r="I9" s="209"/>
      <c r="J9" s="209"/>
      <c r="K9" s="209"/>
      <c r="L9" s="209"/>
    </row>
    <row r="10" spans="2:12" x14ac:dyDescent="0.35">
      <c r="B10" s="209"/>
      <c r="C10" s="209"/>
      <c r="D10" s="209"/>
      <c r="E10" s="209"/>
      <c r="F10" s="209"/>
      <c r="G10" s="209"/>
      <c r="H10" s="209"/>
      <c r="I10" s="209"/>
      <c r="J10" s="209"/>
      <c r="K10" s="209"/>
      <c r="L10" s="209"/>
    </row>
    <row r="11" spans="2:12" x14ac:dyDescent="0.35">
      <c r="B11" s="209"/>
      <c r="C11" s="209"/>
      <c r="D11" s="209"/>
      <c r="E11" s="209"/>
      <c r="F11" s="209"/>
      <c r="G11" s="209"/>
      <c r="H11" s="209"/>
      <c r="I11" s="209"/>
      <c r="J11" s="209"/>
      <c r="K11" s="209"/>
      <c r="L11" s="209"/>
    </row>
    <row r="12" spans="2:12" x14ac:dyDescent="0.35">
      <c r="B12" s="209"/>
      <c r="C12" s="209"/>
      <c r="D12" s="209"/>
      <c r="E12" s="209"/>
      <c r="F12" s="209"/>
      <c r="G12" s="209"/>
      <c r="H12" s="209"/>
      <c r="I12" s="209"/>
      <c r="J12" s="209"/>
      <c r="K12" s="209"/>
      <c r="L12" s="209"/>
    </row>
    <row r="13" spans="2:12" x14ac:dyDescent="0.35">
      <c r="B13" s="209"/>
      <c r="C13" s="209"/>
      <c r="D13" s="209"/>
      <c r="E13" s="209"/>
      <c r="F13" s="209"/>
      <c r="G13" s="209"/>
      <c r="H13" s="209"/>
      <c r="I13" s="209"/>
      <c r="J13" s="209"/>
      <c r="K13" s="209"/>
      <c r="L13" s="209"/>
    </row>
    <row r="14" spans="2:12" x14ac:dyDescent="0.35">
      <c r="B14" s="209"/>
      <c r="C14" s="209"/>
      <c r="D14" s="209"/>
      <c r="E14" s="209"/>
      <c r="F14" s="209"/>
      <c r="G14" s="209"/>
      <c r="H14" s="209"/>
      <c r="I14" s="209"/>
      <c r="J14" s="209"/>
      <c r="K14" s="209"/>
      <c r="L14" s="209"/>
    </row>
    <row r="15" spans="2:12" x14ac:dyDescent="0.35">
      <c r="B15" s="209"/>
      <c r="C15" s="209"/>
      <c r="D15" s="209"/>
      <c r="E15" s="209"/>
      <c r="F15" s="209"/>
      <c r="G15" s="209"/>
      <c r="H15" s="209"/>
      <c r="I15" s="209"/>
      <c r="J15" s="209"/>
      <c r="K15" s="209"/>
      <c r="L15" s="209"/>
    </row>
    <row r="16" spans="2:12" x14ac:dyDescent="0.35">
      <c r="B16" s="209"/>
      <c r="C16" s="209"/>
      <c r="D16" s="209"/>
      <c r="E16" s="209"/>
      <c r="F16" s="209"/>
      <c r="G16" s="209"/>
      <c r="H16" s="209"/>
      <c r="I16" s="209"/>
      <c r="J16" s="209"/>
      <c r="K16" s="209"/>
      <c r="L16" s="209"/>
    </row>
    <row r="17" spans="2:12" x14ac:dyDescent="0.35">
      <c r="B17" s="209"/>
      <c r="C17" s="209"/>
      <c r="D17" s="209"/>
      <c r="E17" s="209"/>
      <c r="F17" s="209"/>
      <c r="G17" s="209"/>
      <c r="H17" s="209"/>
      <c r="I17" s="209"/>
      <c r="J17" s="209"/>
      <c r="K17" s="209"/>
      <c r="L17" s="209"/>
    </row>
  </sheetData>
  <mergeCells count="1">
    <mergeCell ref="B2:L17"/>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5"/>
  <sheetViews>
    <sheetView workbookViewId="0">
      <selection activeCell="B2" sqref="B2:M11"/>
    </sheetView>
  </sheetViews>
  <sheetFormatPr defaultRowHeight="14.4" x14ac:dyDescent="0.3"/>
  <cols>
    <col min="2" max="2" width="16.88671875" bestFit="1" customWidth="1"/>
  </cols>
  <sheetData>
    <row r="2" spans="2:13" x14ac:dyDescent="0.3">
      <c r="B2" s="209" t="s">
        <v>148</v>
      </c>
      <c r="C2" s="209"/>
      <c r="D2" s="209"/>
      <c r="E2" s="209"/>
      <c r="F2" s="209"/>
      <c r="G2" s="209"/>
      <c r="H2" s="209"/>
      <c r="I2" s="209"/>
      <c r="J2" s="209"/>
      <c r="K2" s="209"/>
      <c r="L2" s="209"/>
      <c r="M2" s="209"/>
    </row>
    <row r="3" spans="2:13" x14ac:dyDescent="0.3">
      <c r="B3" s="209"/>
      <c r="C3" s="209"/>
      <c r="D3" s="209"/>
      <c r="E3" s="209"/>
      <c r="F3" s="209"/>
      <c r="G3" s="209"/>
      <c r="H3" s="209"/>
      <c r="I3" s="209"/>
      <c r="J3" s="209"/>
      <c r="K3" s="209"/>
      <c r="L3" s="209"/>
      <c r="M3" s="209"/>
    </row>
    <row r="4" spans="2:13" x14ac:dyDescent="0.3">
      <c r="B4" s="209"/>
      <c r="C4" s="209"/>
      <c r="D4" s="209"/>
      <c r="E4" s="209"/>
      <c r="F4" s="209"/>
      <c r="G4" s="209"/>
      <c r="H4" s="209"/>
      <c r="I4" s="209"/>
      <c r="J4" s="209"/>
      <c r="K4" s="209"/>
      <c r="L4" s="209"/>
      <c r="M4" s="209"/>
    </row>
    <row r="5" spans="2:13" x14ac:dyDescent="0.3">
      <c r="B5" s="209"/>
      <c r="C5" s="209"/>
      <c r="D5" s="209"/>
      <c r="E5" s="209"/>
      <c r="F5" s="209"/>
      <c r="G5" s="209"/>
      <c r="H5" s="209"/>
      <c r="I5" s="209"/>
      <c r="J5" s="209"/>
      <c r="K5" s="209"/>
      <c r="L5" s="209"/>
      <c r="M5" s="209"/>
    </row>
    <row r="6" spans="2:13" x14ac:dyDescent="0.3">
      <c r="B6" s="209"/>
      <c r="C6" s="209"/>
      <c r="D6" s="209"/>
      <c r="E6" s="209"/>
      <c r="F6" s="209"/>
      <c r="G6" s="209"/>
      <c r="H6" s="209"/>
      <c r="I6" s="209"/>
      <c r="J6" s="209"/>
      <c r="K6" s="209"/>
      <c r="L6" s="209"/>
      <c r="M6" s="209"/>
    </row>
    <row r="7" spans="2:13" x14ac:dyDescent="0.3">
      <c r="B7" s="209"/>
      <c r="C7" s="209"/>
      <c r="D7" s="209"/>
      <c r="E7" s="209"/>
      <c r="F7" s="209"/>
      <c r="G7" s="209"/>
      <c r="H7" s="209"/>
      <c r="I7" s="209"/>
      <c r="J7" s="209"/>
      <c r="K7" s="209"/>
      <c r="L7" s="209"/>
      <c r="M7" s="209"/>
    </row>
    <row r="8" spans="2:13" x14ac:dyDescent="0.3">
      <c r="B8" s="209"/>
      <c r="C8" s="209"/>
      <c r="D8" s="209"/>
      <c r="E8" s="209"/>
      <c r="F8" s="209"/>
      <c r="G8" s="209"/>
      <c r="H8" s="209"/>
      <c r="I8" s="209"/>
      <c r="J8" s="209"/>
      <c r="K8" s="209"/>
      <c r="L8" s="209"/>
      <c r="M8" s="209"/>
    </row>
    <row r="9" spans="2:13" x14ac:dyDescent="0.3">
      <c r="B9" s="209"/>
      <c r="C9" s="209"/>
      <c r="D9" s="209"/>
      <c r="E9" s="209"/>
      <c r="F9" s="209"/>
      <c r="G9" s="209"/>
      <c r="H9" s="209"/>
      <c r="I9" s="209"/>
      <c r="J9" s="209"/>
      <c r="K9" s="209"/>
      <c r="L9" s="209"/>
      <c r="M9" s="209"/>
    </row>
    <row r="10" spans="2:13" x14ac:dyDescent="0.3">
      <c r="B10" s="209"/>
      <c r="C10" s="209"/>
      <c r="D10" s="209"/>
      <c r="E10" s="209"/>
      <c r="F10" s="209"/>
      <c r="G10" s="209"/>
      <c r="H10" s="209"/>
      <c r="I10" s="209"/>
      <c r="J10" s="209"/>
      <c r="K10" s="209"/>
      <c r="L10" s="209"/>
      <c r="M10" s="209"/>
    </row>
    <row r="11" spans="2:13" x14ac:dyDescent="0.3">
      <c r="B11" s="209"/>
      <c r="C11" s="209"/>
      <c r="D11" s="209"/>
      <c r="E11" s="209"/>
      <c r="F11" s="209"/>
      <c r="G11" s="209"/>
      <c r="H11" s="209"/>
      <c r="I11" s="209"/>
      <c r="J11" s="209"/>
      <c r="K11" s="209"/>
      <c r="L11" s="209"/>
      <c r="M11" s="209"/>
    </row>
    <row r="14" spans="2:13" ht="18" x14ac:dyDescent="0.35">
      <c r="B14" s="84" t="s">
        <v>15</v>
      </c>
      <c r="C14" s="83">
        <v>0.98</v>
      </c>
      <c r="D14" s="82"/>
    </row>
    <row r="15" spans="2:13" ht="18" x14ac:dyDescent="0.35">
      <c r="B15" s="84" t="s">
        <v>17</v>
      </c>
      <c r="C15" s="83">
        <f>0.96</f>
        <v>0.96</v>
      </c>
      <c r="D15" s="82"/>
    </row>
    <row r="16" spans="2:13" ht="18" x14ac:dyDescent="0.35">
      <c r="B16" s="84" t="s">
        <v>112</v>
      </c>
      <c r="C16" s="180">
        <v>0.04</v>
      </c>
      <c r="D16" s="82"/>
    </row>
    <row r="17" spans="2:13" ht="18" x14ac:dyDescent="0.35">
      <c r="B17" s="84" t="s">
        <v>118</v>
      </c>
      <c r="C17" s="83">
        <v>2</v>
      </c>
      <c r="D17" s="82"/>
    </row>
    <row r="18" spans="2:13" ht="18" x14ac:dyDescent="0.35">
      <c r="B18" s="84" t="s">
        <v>113</v>
      </c>
      <c r="C18" s="83">
        <v>100</v>
      </c>
      <c r="D18" s="82"/>
    </row>
    <row r="19" spans="2:13" ht="18" x14ac:dyDescent="0.35">
      <c r="B19" s="84" t="s">
        <v>114</v>
      </c>
      <c r="C19" s="83">
        <v>1</v>
      </c>
      <c r="D19" s="82" t="s">
        <v>115</v>
      </c>
    </row>
    <row r="20" spans="2:13" ht="18" x14ac:dyDescent="0.35">
      <c r="B20" s="84" t="s">
        <v>116</v>
      </c>
      <c r="C20" s="83">
        <v>99</v>
      </c>
      <c r="D20" s="82"/>
    </row>
    <row r="23" spans="2:13" ht="18" x14ac:dyDescent="0.35">
      <c r="B23" s="213" t="s">
        <v>117</v>
      </c>
      <c r="C23" s="213"/>
      <c r="D23" s="143" t="s">
        <v>119</v>
      </c>
    </row>
    <row r="24" spans="2:13" ht="18" x14ac:dyDescent="0.35">
      <c r="B24" s="82">
        <v>0</v>
      </c>
      <c r="C24" s="82"/>
      <c r="D24" s="82"/>
    </row>
    <row r="25" spans="2:13" ht="18" x14ac:dyDescent="0.35">
      <c r="B25" s="82">
        <v>0.5</v>
      </c>
      <c r="C25" s="82">
        <f>C16/C17*C18</f>
        <v>2</v>
      </c>
      <c r="D25" s="82">
        <f>C25*C14</f>
        <v>1.96</v>
      </c>
    </row>
    <row r="26" spans="2:13" ht="18" x14ac:dyDescent="0.35">
      <c r="B26" s="82">
        <v>1</v>
      </c>
      <c r="C26" s="82">
        <f>C16/C17*C18+C18</f>
        <v>102</v>
      </c>
      <c r="D26" s="82">
        <f>C26*C15</f>
        <v>97.92</v>
      </c>
    </row>
    <row r="27" spans="2:13" ht="18" x14ac:dyDescent="0.35">
      <c r="D27" s="143">
        <f>SUM(D25:D26)</f>
        <v>99.88</v>
      </c>
    </row>
    <row r="30" spans="2:13" ht="18" x14ac:dyDescent="0.35">
      <c r="B30" s="211" t="s">
        <v>120</v>
      </c>
      <c r="C30" s="212"/>
      <c r="D30" s="212"/>
      <c r="E30" s="212"/>
      <c r="F30" s="212"/>
      <c r="G30" s="212"/>
      <c r="H30" s="212"/>
      <c r="I30" s="212"/>
      <c r="J30" s="212"/>
      <c r="K30" s="183"/>
      <c r="L30" s="182"/>
      <c r="M30" s="182"/>
    </row>
    <row r="31" spans="2:13" ht="18" x14ac:dyDescent="0.35">
      <c r="B31" s="184"/>
      <c r="C31" s="184"/>
      <c r="D31" s="184"/>
      <c r="E31" s="184"/>
      <c r="F31" s="184"/>
      <c r="G31" s="184"/>
      <c r="H31" s="86">
        <v>0</v>
      </c>
      <c r="I31" s="86">
        <v>0.5</v>
      </c>
      <c r="J31" s="86">
        <v>1</v>
      </c>
      <c r="K31" s="181"/>
      <c r="L31" s="181"/>
      <c r="M31" s="181"/>
    </row>
    <row r="32" spans="2:13" ht="18" x14ac:dyDescent="0.35">
      <c r="B32" s="210" t="s">
        <v>121</v>
      </c>
      <c r="C32" s="210"/>
      <c r="D32" s="210"/>
      <c r="E32" s="210"/>
      <c r="F32" s="210"/>
      <c r="G32" s="210"/>
      <c r="H32" s="185">
        <f>C25*C14</f>
        <v>1.96</v>
      </c>
      <c r="I32" s="186">
        <f>-C25</f>
        <v>-2</v>
      </c>
      <c r="J32" s="150"/>
    </row>
    <row r="33" spans="2:10" ht="18" x14ac:dyDescent="0.35">
      <c r="B33" s="210" t="s">
        <v>122</v>
      </c>
      <c r="C33" s="210"/>
      <c r="D33" s="210"/>
      <c r="E33" s="210"/>
      <c r="F33" s="210"/>
      <c r="G33" s="214"/>
      <c r="H33" s="187">
        <f>C26*C15</f>
        <v>97.92</v>
      </c>
      <c r="I33" s="186"/>
      <c r="J33" s="150">
        <f>-C26</f>
        <v>-102</v>
      </c>
    </row>
    <row r="34" spans="2:10" ht="18" x14ac:dyDescent="0.35">
      <c r="B34" s="210" t="s">
        <v>123</v>
      </c>
      <c r="C34" s="210"/>
      <c r="D34" s="210"/>
      <c r="E34" s="210"/>
      <c r="F34" s="210"/>
      <c r="G34" s="210"/>
      <c r="H34" s="188">
        <f>-C20</f>
        <v>-99</v>
      </c>
      <c r="I34" s="186">
        <f>C25</f>
        <v>2</v>
      </c>
      <c r="J34" s="150">
        <f>C26</f>
        <v>102</v>
      </c>
    </row>
    <row r="35" spans="2:10" ht="18" x14ac:dyDescent="0.35">
      <c r="B35" s="81"/>
      <c r="C35" s="81"/>
      <c r="D35" s="81"/>
      <c r="E35" s="81"/>
      <c r="F35" s="81"/>
      <c r="G35" s="81"/>
      <c r="H35" s="81">
        <f>SUM(H32:H34)</f>
        <v>0.87999999999999545</v>
      </c>
      <c r="I35" s="81">
        <f t="shared" ref="I35:J35" si="0">SUM(I32:I34)</f>
        <v>0</v>
      </c>
      <c r="J35" s="81">
        <f t="shared" si="0"/>
        <v>0</v>
      </c>
    </row>
  </sheetData>
  <mergeCells count="6">
    <mergeCell ref="B34:G34"/>
    <mergeCell ref="B30:J30"/>
    <mergeCell ref="B2:M11"/>
    <mergeCell ref="B23:C23"/>
    <mergeCell ref="B32:G32"/>
    <mergeCell ref="B33:G3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4"/>
  <sheetViews>
    <sheetView workbookViewId="0">
      <selection activeCell="B2" sqref="B2:M11"/>
    </sheetView>
  </sheetViews>
  <sheetFormatPr defaultRowHeight="14.4" x14ac:dyDescent="0.3"/>
  <cols>
    <col min="2" max="2" width="10.88671875" customWidth="1"/>
  </cols>
  <sheetData>
    <row r="2" spans="1:14" ht="15" customHeight="1" x14ac:dyDescent="0.3">
      <c r="B2" s="215" t="s">
        <v>83</v>
      </c>
      <c r="C2" s="215"/>
      <c r="D2" s="215"/>
      <c r="E2" s="215"/>
      <c r="F2" s="215"/>
      <c r="G2" s="215"/>
      <c r="H2" s="215"/>
      <c r="I2" s="215"/>
      <c r="J2" s="215"/>
      <c r="K2" s="215"/>
      <c r="L2" s="215"/>
      <c r="M2" s="215"/>
    </row>
    <row r="3" spans="1:14" ht="15" customHeight="1" x14ac:dyDescent="0.3">
      <c r="B3" s="215"/>
      <c r="C3" s="215"/>
      <c r="D3" s="215"/>
      <c r="E3" s="215"/>
      <c r="F3" s="215"/>
      <c r="G3" s="215"/>
      <c r="H3" s="215"/>
      <c r="I3" s="215"/>
      <c r="J3" s="215"/>
      <c r="K3" s="215"/>
      <c r="L3" s="215"/>
      <c r="M3" s="215"/>
    </row>
    <row r="4" spans="1:14" ht="15" customHeight="1" x14ac:dyDescent="0.3">
      <c r="B4" s="215"/>
      <c r="C4" s="215"/>
      <c r="D4" s="215"/>
      <c r="E4" s="215"/>
      <c r="F4" s="215"/>
      <c r="G4" s="215"/>
      <c r="H4" s="215"/>
      <c r="I4" s="215"/>
      <c r="J4" s="215"/>
      <c r="K4" s="215"/>
      <c r="L4" s="215"/>
      <c r="M4" s="215"/>
    </row>
    <row r="5" spans="1:14" ht="15" customHeight="1" x14ac:dyDescent="0.3">
      <c r="B5" s="215"/>
      <c r="C5" s="215"/>
      <c r="D5" s="215"/>
      <c r="E5" s="215"/>
      <c r="F5" s="215"/>
      <c r="G5" s="215"/>
      <c r="H5" s="215"/>
      <c r="I5" s="215"/>
      <c r="J5" s="215"/>
      <c r="K5" s="215"/>
      <c r="L5" s="215"/>
      <c r="M5" s="215"/>
    </row>
    <row r="6" spans="1:14" ht="15" customHeight="1" x14ac:dyDescent="0.3">
      <c r="B6" s="215"/>
      <c r="C6" s="215"/>
      <c r="D6" s="215"/>
      <c r="E6" s="215"/>
      <c r="F6" s="215"/>
      <c r="G6" s="215"/>
      <c r="H6" s="215"/>
      <c r="I6" s="215"/>
      <c r="J6" s="215"/>
      <c r="K6" s="215"/>
      <c r="L6" s="215"/>
      <c r="M6" s="215"/>
    </row>
    <row r="7" spans="1:14" ht="15" customHeight="1" x14ac:dyDescent="0.3">
      <c r="B7" s="215"/>
      <c r="C7" s="215"/>
      <c r="D7" s="215"/>
      <c r="E7" s="215"/>
      <c r="F7" s="215"/>
      <c r="G7" s="215"/>
      <c r="H7" s="215"/>
      <c r="I7" s="215"/>
      <c r="J7" s="215"/>
      <c r="K7" s="215"/>
      <c r="L7" s="215"/>
      <c r="M7" s="215"/>
    </row>
    <row r="8" spans="1:14" ht="15" customHeight="1" x14ac:dyDescent="0.3">
      <c r="B8" s="215"/>
      <c r="C8" s="215"/>
      <c r="D8" s="215"/>
      <c r="E8" s="215"/>
      <c r="F8" s="215"/>
      <c r="G8" s="215"/>
      <c r="H8" s="215"/>
      <c r="I8" s="215"/>
      <c r="J8" s="215"/>
      <c r="K8" s="215"/>
      <c r="L8" s="215"/>
      <c r="M8" s="215"/>
    </row>
    <row r="9" spans="1:14" ht="15" customHeight="1" x14ac:dyDescent="0.3">
      <c r="B9" s="215"/>
      <c r="C9" s="215"/>
      <c r="D9" s="215"/>
      <c r="E9" s="215"/>
      <c r="F9" s="215"/>
      <c r="G9" s="215"/>
      <c r="H9" s="215"/>
      <c r="I9" s="215"/>
      <c r="J9" s="215"/>
      <c r="K9" s="215"/>
      <c r="L9" s="215"/>
      <c r="M9" s="215"/>
    </row>
    <row r="10" spans="1:14" ht="15" customHeight="1" x14ac:dyDescent="0.3">
      <c r="B10" s="215"/>
      <c r="C10" s="215"/>
      <c r="D10" s="215"/>
      <c r="E10" s="215"/>
      <c r="F10" s="215"/>
      <c r="G10" s="215"/>
      <c r="H10" s="215"/>
      <c r="I10" s="215"/>
      <c r="J10" s="215"/>
      <c r="K10" s="215"/>
      <c r="L10" s="215"/>
      <c r="M10" s="215"/>
    </row>
    <row r="11" spans="1:14" ht="15" customHeight="1" x14ac:dyDescent="0.3">
      <c r="B11" s="215"/>
      <c r="C11" s="215"/>
      <c r="D11" s="215"/>
      <c r="E11" s="215"/>
      <c r="F11" s="215"/>
      <c r="G11" s="215"/>
      <c r="H11" s="215"/>
      <c r="I11" s="215"/>
      <c r="J11" s="215"/>
      <c r="K11" s="215"/>
      <c r="L11" s="215"/>
      <c r="M11" s="215"/>
    </row>
    <row r="12" spans="1:14" ht="15" customHeight="1" x14ac:dyDescent="0.3">
      <c r="B12" s="153"/>
      <c r="C12" s="153"/>
      <c r="D12" s="153"/>
      <c r="E12" s="153"/>
      <c r="F12" s="153"/>
      <c r="G12" s="153"/>
      <c r="H12" s="153"/>
      <c r="I12" s="153"/>
      <c r="J12" s="153"/>
      <c r="K12" s="153"/>
      <c r="L12" s="153"/>
      <c r="M12" s="153"/>
    </row>
    <row r="14" spans="1:14" ht="18" x14ac:dyDescent="0.3">
      <c r="B14" s="89"/>
      <c r="C14" s="221" t="s">
        <v>86</v>
      </c>
      <c r="D14" s="221"/>
      <c r="E14" s="221"/>
      <c r="F14" s="89"/>
      <c r="G14" s="89"/>
      <c r="H14" s="89"/>
      <c r="I14" s="89"/>
      <c r="J14" s="89"/>
      <c r="K14" s="89"/>
      <c r="L14" s="89"/>
      <c r="M14" s="89"/>
    </row>
    <row r="15" spans="1:14" ht="18" x14ac:dyDescent="0.35">
      <c r="A15" s="81"/>
      <c r="B15" s="82"/>
      <c r="C15" s="84">
        <v>0</v>
      </c>
      <c r="D15" s="84">
        <v>1</v>
      </c>
      <c r="E15" s="84">
        <v>2</v>
      </c>
      <c r="F15" s="81"/>
      <c r="G15" s="81"/>
      <c r="H15" s="81"/>
      <c r="I15" s="81"/>
      <c r="J15" s="81"/>
      <c r="K15" s="81"/>
      <c r="L15" s="81"/>
      <c r="M15" s="81"/>
      <c r="N15" s="81"/>
    </row>
    <row r="16" spans="1:14" ht="18" x14ac:dyDescent="0.35">
      <c r="A16" s="81"/>
      <c r="B16" s="84" t="s">
        <v>84</v>
      </c>
      <c r="C16" s="83">
        <v>0.99</v>
      </c>
      <c r="D16" s="83">
        <v>1</v>
      </c>
      <c r="E16" s="83"/>
      <c r="F16" s="81"/>
      <c r="G16" s="81"/>
      <c r="H16" s="81"/>
      <c r="I16" s="81"/>
      <c r="J16" s="81"/>
      <c r="K16" s="81"/>
      <c r="L16" s="81"/>
      <c r="M16" s="81"/>
      <c r="N16" s="81"/>
    </row>
    <row r="17" spans="1:14" ht="18" x14ac:dyDescent="0.35">
      <c r="A17" s="81"/>
      <c r="B17" s="84" t="s">
        <v>85</v>
      </c>
      <c r="C17" s="83">
        <v>0.98</v>
      </c>
      <c r="D17" s="83"/>
      <c r="E17" s="83">
        <v>1</v>
      </c>
      <c r="F17" s="81"/>
      <c r="G17" s="81"/>
      <c r="H17" s="81"/>
      <c r="I17" s="81"/>
      <c r="J17" s="81"/>
      <c r="K17" s="81"/>
      <c r="L17" s="81"/>
      <c r="M17" s="81"/>
      <c r="N17" s="81"/>
    </row>
    <row r="18" spans="1:14" ht="18" x14ac:dyDescent="0.35">
      <c r="A18" s="81"/>
      <c r="B18" s="84" t="s">
        <v>57</v>
      </c>
      <c r="C18" s="83"/>
      <c r="D18" s="83">
        <v>5</v>
      </c>
      <c r="E18" s="83">
        <v>105</v>
      </c>
      <c r="F18" s="81"/>
      <c r="G18" s="81"/>
      <c r="H18" s="81"/>
      <c r="I18" s="81"/>
      <c r="J18" s="81"/>
      <c r="K18" s="81"/>
      <c r="L18" s="81"/>
      <c r="M18" s="81"/>
      <c r="N18" s="81"/>
    </row>
    <row r="19" spans="1:14" ht="18" x14ac:dyDescent="0.35">
      <c r="A19" s="81"/>
      <c r="B19" s="81"/>
      <c r="C19" s="81"/>
      <c r="D19" s="81"/>
      <c r="E19" s="81"/>
      <c r="F19" s="81"/>
      <c r="G19" s="81"/>
      <c r="H19" s="81"/>
      <c r="I19" s="81"/>
      <c r="J19" s="81"/>
      <c r="K19" s="81"/>
      <c r="L19" s="81"/>
      <c r="M19" s="81"/>
      <c r="N19" s="81"/>
    </row>
    <row r="20" spans="1:14" ht="18" x14ac:dyDescent="0.35">
      <c r="A20" s="223" t="s">
        <v>8</v>
      </c>
      <c r="B20" s="222" t="s">
        <v>87</v>
      </c>
      <c r="C20" s="222"/>
      <c r="D20" s="222"/>
      <c r="E20" s="222"/>
      <c r="F20" s="222"/>
      <c r="G20" s="222"/>
      <c r="H20" s="222"/>
      <c r="I20" s="222"/>
      <c r="J20" s="81"/>
      <c r="K20" s="81"/>
      <c r="L20" s="81"/>
      <c r="M20" s="81"/>
      <c r="N20" s="81"/>
    </row>
    <row r="21" spans="1:14" ht="18" x14ac:dyDescent="0.35">
      <c r="A21" s="223"/>
      <c r="B21" s="222"/>
      <c r="C21" s="222"/>
      <c r="D21" s="222"/>
      <c r="E21" s="222"/>
      <c r="F21" s="222"/>
      <c r="G21" s="222"/>
      <c r="H21" s="222"/>
      <c r="I21" s="222"/>
      <c r="J21" s="81"/>
      <c r="K21" s="81"/>
      <c r="L21" s="81"/>
      <c r="M21" s="81"/>
      <c r="N21" s="81"/>
    </row>
    <row r="22" spans="1:14" ht="18" x14ac:dyDescent="0.35">
      <c r="A22" s="223"/>
      <c r="B22" s="222"/>
      <c r="C22" s="222"/>
      <c r="D22" s="222"/>
      <c r="E22" s="222"/>
      <c r="F22" s="222"/>
      <c r="G22" s="222"/>
      <c r="H22" s="222"/>
      <c r="I22" s="222"/>
      <c r="J22" s="81"/>
      <c r="K22" s="81"/>
      <c r="L22" s="81"/>
      <c r="M22" s="81"/>
      <c r="N22" s="81"/>
    </row>
    <row r="23" spans="1:14" ht="20.100000000000001" customHeight="1" x14ac:dyDescent="0.35">
      <c r="A23" s="145"/>
      <c r="B23" s="147" t="s">
        <v>90</v>
      </c>
      <c r="C23" s="147">
        <v>5</v>
      </c>
      <c r="D23" s="146"/>
      <c r="E23" s="146"/>
      <c r="F23" s="146"/>
      <c r="G23" s="146"/>
      <c r="H23" s="146"/>
      <c r="I23" s="146"/>
      <c r="J23" s="81"/>
      <c r="K23" s="81"/>
      <c r="L23" s="81"/>
      <c r="M23" s="81"/>
      <c r="N23" s="81"/>
    </row>
    <row r="24" spans="1:14" ht="20.100000000000001" customHeight="1" x14ac:dyDescent="0.35">
      <c r="A24" s="145"/>
      <c r="B24" s="147" t="s">
        <v>91</v>
      </c>
      <c r="C24" s="147">
        <v>105</v>
      </c>
      <c r="D24" s="146"/>
      <c r="E24" s="146"/>
      <c r="F24" s="146"/>
      <c r="G24" s="146"/>
      <c r="H24" s="146"/>
      <c r="I24" s="146"/>
      <c r="J24" s="81"/>
      <c r="K24" s="81"/>
      <c r="L24" s="81"/>
      <c r="M24" s="81"/>
      <c r="N24" s="81"/>
    </row>
    <row r="25" spans="1:14" ht="18" x14ac:dyDescent="0.35">
      <c r="A25" s="81"/>
      <c r="B25" s="81"/>
      <c r="C25" s="81"/>
      <c r="D25" s="81"/>
      <c r="E25" s="81"/>
      <c r="F25" s="81"/>
      <c r="G25" s="81"/>
      <c r="H25" s="81"/>
      <c r="I25" s="81"/>
      <c r="J25" s="81"/>
      <c r="K25" s="81"/>
      <c r="L25" s="81"/>
      <c r="M25" s="81"/>
      <c r="N25" s="81"/>
    </row>
    <row r="26" spans="1:14" ht="18" x14ac:dyDescent="0.35">
      <c r="A26" s="151" t="s">
        <v>9</v>
      </c>
      <c r="B26" s="82" t="s">
        <v>88</v>
      </c>
      <c r="C26" s="82">
        <f>C16*C23*D16+C17*C24*E17</f>
        <v>107.85</v>
      </c>
      <c r="D26" s="81"/>
      <c r="E26" s="81"/>
      <c r="F26" s="81"/>
      <c r="G26" s="81"/>
      <c r="H26" s="81"/>
      <c r="I26" s="81"/>
      <c r="J26" s="81"/>
      <c r="K26" s="81"/>
      <c r="L26" s="81"/>
      <c r="M26" s="81"/>
      <c r="N26" s="81"/>
    </row>
    <row r="27" spans="1:14" ht="18" x14ac:dyDescent="0.35">
      <c r="A27" s="81"/>
      <c r="B27" s="81"/>
      <c r="C27" s="81"/>
      <c r="D27" s="81"/>
      <c r="E27" s="81"/>
      <c r="F27" s="81"/>
      <c r="G27" s="81"/>
      <c r="H27" s="81"/>
      <c r="I27" s="81"/>
      <c r="J27" s="81"/>
      <c r="K27" s="81"/>
      <c r="L27" s="81"/>
      <c r="M27" s="81"/>
      <c r="N27" s="81"/>
    </row>
    <row r="28" spans="1:14" ht="18" x14ac:dyDescent="0.35">
      <c r="A28" s="216" t="s">
        <v>10</v>
      </c>
      <c r="B28" s="219" t="s">
        <v>89</v>
      </c>
      <c r="C28" s="209"/>
      <c r="D28" s="209"/>
      <c r="E28" s="209"/>
      <c r="F28" s="209"/>
      <c r="G28" s="209"/>
      <c r="H28" s="209"/>
      <c r="I28" s="209"/>
      <c r="J28" s="81"/>
      <c r="K28" s="81"/>
      <c r="L28" s="81"/>
      <c r="M28" s="81"/>
      <c r="N28" s="81"/>
    </row>
    <row r="29" spans="1:14" ht="18" x14ac:dyDescent="0.35">
      <c r="A29" s="217"/>
      <c r="B29" s="219"/>
      <c r="C29" s="209"/>
      <c r="D29" s="209"/>
      <c r="E29" s="209"/>
      <c r="F29" s="209"/>
      <c r="G29" s="209"/>
      <c r="H29" s="209"/>
      <c r="I29" s="209"/>
      <c r="J29" s="81"/>
      <c r="K29" s="81"/>
      <c r="L29" s="81"/>
      <c r="M29" s="81"/>
      <c r="N29" s="81"/>
    </row>
    <row r="30" spans="1:14" ht="18" x14ac:dyDescent="0.35">
      <c r="A30" s="217"/>
      <c r="B30" s="149"/>
      <c r="C30" s="148">
        <v>0</v>
      </c>
      <c r="D30" s="148">
        <v>1</v>
      </c>
      <c r="E30" s="148">
        <v>2</v>
      </c>
      <c r="F30" s="81"/>
      <c r="G30" s="81"/>
      <c r="H30" s="81"/>
      <c r="I30" s="81"/>
      <c r="J30" s="81"/>
      <c r="K30" s="81"/>
      <c r="L30" s="81"/>
      <c r="M30" s="81"/>
      <c r="N30" s="81"/>
    </row>
    <row r="31" spans="1:14" ht="18" x14ac:dyDescent="0.35">
      <c r="A31" s="217"/>
      <c r="B31" s="150" t="s">
        <v>80</v>
      </c>
      <c r="C31" s="82">
        <f>C26</f>
        <v>107.85</v>
      </c>
      <c r="D31" s="82">
        <f>-C23*D16</f>
        <v>-5</v>
      </c>
      <c r="E31" s="82">
        <f>-C24*E17</f>
        <v>-105</v>
      </c>
      <c r="F31" s="81"/>
      <c r="G31" s="81"/>
      <c r="H31" s="81"/>
      <c r="I31" s="81"/>
      <c r="J31" s="81"/>
      <c r="K31" s="81"/>
      <c r="L31" s="81"/>
      <c r="M31" s="81"/>
      <c r="N31" s="81"/>
    </row>
    <row r="32" spans="1:14" ht="18" x14ac:dyDescent="0.35">
      <c r="A32" s="217"/>
      <c r="B32" s="150" t="s">
        <v>81</v>
      </c>
      <c r="C32" s="82">
        <f>-106</f>
        <v>-106</v>
      </c>
      <c r="D32" s="82">
        <f>D18</f>
        <v>5</v>
      </c>
      <c r="E32" s="82">
        <f>E18</f>
        <v>105</v>
      </c>
      <c r="F32" s="81"/>
      <c r="G32" s="81"/>
      <c r="H32" s="81"/>
      <c r="I32" s="81"/>
      <c r="J32" s="81"/>
      <c r="K32" s="81"/>
      <c r="L32" s="81"/>
      <c r="M32" s="81"/>
      <c r="N32" s="81"/>
    </row>
    <row r="33" spans="1:14" ht="18" x14ac:dyDescent="0.35">
      <c r="A33" s="218"/>
      <c r="B33" s="81"/>
      <c r="C33" s="81">
        <f>SUM(C31:C32)</f>
        <v>1.8499999999999943</v>
      </c>
      <c r="D33" s="81">
        <f t="shared" ref="D33:E33" si="0">SUM(D31:D32)</f>
        <v>0</v>
      </c>
      <c r="E33" s="81">
        <f t="shared" si="0"/>
        <v>0</v>
      </c>
      <c r="F33" s="81" t="s">
        <v>92</v>
      </c>
      <c r="G33" s="220" t="s">
        <v>93</v>
      </c>
      <c r="H33" s="220"/>
      <c r="I33" s="220"/>
      <c r="J33" s="81"/>
      <c r="K33" s="81"/>
      <c r="L33" s="81"/>
      <c r="M33" s="81"/>
      <c r="N33" s="81"/>
    </row>
    <row r="34" spans="1:14" ht="18" x14ac:dyDescent="0.35">
      <c r="A34" s="81"/>
      <c r="B34" s="81"/>
      <c r="C34" s="81"/>
      <c r="D34" s="81"/>
      <c r="E34" s="81"/>
      <c r="F34" s="81"/>
      <c r="G34" s="81"/>
      <c r="H34" s="81"/>
      <c r="I34" s="81"/>
      <c r="J34" s="81"/>
      <c r="K34" s="81"/>
      <c r="L34" s="81"/>
      <c r="M34" s="81"/>
      <c r="N34" s="81"/>
    </row>
    <row r="35" spans="1:14" ht="18" x14ac:dyDescent="0.35">
      <c r="A35" s="81"/>
      <c r="B35" s="81"/>
      <c r="C35" s="81"/>
      <c r="D35" s="81"/>
      <c r="E35" s="81"/>
      <c r="F35" s="81"/>
      <c r="G35" s="81"/>
      <c r="H35" s="81"/>
      <c r="I35" s="81"/>
      <c r="J35" s="81"/>
      <c r="K35" s="81"/>
      <c r="L35" s="81"/>
      <c r="M35" s="81"/>
      <c r="N35" s="81"/>
    </row>
    <row r="36" spans="1:14" ht="18" x14ac:dyDescent="0.35">
      <c r="A36" s="216" t="s">
        <v>82</v>
      </c>
      <c r="B36" s="219" t="s">
        <v>94</v>
      </c>
      <c r="C36" s="209"/>
      <c r="D36" s="209"/>
      <c r="E36" s="209"/>
      <c r="F36" s="209"/>
      <c r="G36" s="209"/>
      <c r="H36" s="209"/>
      <c r="I36" s="209"/>
      <c r="J36" s="81"/>
      <c r="K36" s="81"/>
      <c r="L36" s="81"/>
      <c r="M36" s="81"/>
      <c r="N36" s="81"/>
    </row>
    <row r="37" spans="1:14" ht="18" x14ac:dyDescent="0.35">
      <c r="A37" s="217"/>
      <c r="B37" s="219"/>
      <c r="C37" s="209"/>
      <c r="D37" s="209"/>
      <c r="E37" s="209"/>
      <c r="F37" s="209"/>
      <c r="G37" s="209"/>
      <c r="H37" s="209"/>
      <c r="I37" s="209"/>
      <c r="J37" s="81"/>
      <c r="K37" s="81"/>
      <c r="L37" s="81"/>
      <c r="M37" s="81"/>
      <c r="N37" s="81"/>
    </row>
    <row r="38" spans="1:14" ht="18" x14ac:dyDescent="0.35">
      <c r="A38" s="217"/>
      <c r="B38" s="149"/>
      <c r="C38" s="148">
        <v>0</v>
      </c>
      <c r="D38" s="148">
        <v>1</v>
      </c>
      <c r="E38" s="148">
        <v>2</v>
      </c>
      <c r="F38" s="81"/>
      <c r="G38" s="81"/>
      <c r="H38" s="81"/>
      <c r="I38" s="81"/>
      <c r="J38" s="81"/>
      <c r="K38" s="81"/>
      <c r="L38" s="81"/>
      <c r="M38" s="81"/>
      <c r="N38" s="81"/>
    </row>
    <row r="39" spans="1:14" ht="18" x14ac:dyDescent="0.35">
      <c r="A39" s="217"/>
      <c r="B39" s="150" t="s">
        <v>80</v>
      </c>
      <c r="C39" s="82">
        <f>109</f>
        <v>109</v>
      </c>
      <c r="D39" s="82">
        <f>-D18</f>
        <v>-5</v>
      </c>
      <c r="E39" s="82">
        <f>-E18</f>
        <v>-105</v>
      </c>
      <c r="F39" s="81"/>
      <c r="G39" s="81"/>
      <c r="H39" s="81"/>
      <c r="I39" s="81"/>
      <c r="J39" s="81"/>
      <c r="K39" s="81"/>
      <c r="L39" s="81"/>
      <c r="M39" s="81"/>
      <c r="N39" s="81"/>
    </row>
    <row r="40" spans="1:14" ht="18" x14ac:dyDescent="0.35">
      <c r="A40" s="217"/>
      <c r="B40" s="150" t="s">
        <v>81</v>
      </c>
      <c r="C40" s="82">
        <f>-C26</f>
        <v>-107.85</v>
      </c>
      <c r="D40" s="82">
        <f>C23*D16</f>
        <v>5</v>
      </c>
      <c r="E40" s="82">
        <f>C24*E17</f>
        <v>105</v>
      </c>
      <c r="F40" s="81"/>
      <c r="G40" s="81"/>
      <c r="H40" s="81"/>
      <c r="I40" s="81"/>
      <c r="J40" s="81"/>
      <c r="K40" s="81"/>
      <c r="L40" s="81"/>
      <c r="M40" s="81"/>
      <c r="N40" s="81"/>
    </row>
    <row r="41" spans="1:14" ht="18" x14ac:dyDescent="0.35">
      <c r="A41" s="218"/>
      <c r="B41" s="81"/>
      <c r="C41" s="81">
        <f>SUM(C39:C40)</f>
        <v>1.1500000000000057</v>
      </c>
      <c r="D41" s="81">
        <f t="shared" ref="D41" si="1">SUM(D39:D40)</f>
        <v>0</v>
      </c>
      <c r="E41" s="81">
        <f t="shared" ref="E41" si="2">SUM(E39:E40)</f>
        <v>0</v>
      </c>
      <c r="F41" s="81" t="s">
        <v>92</v>
      </c>
      <c r="G41" s="220" t="s">
        <v>93</v>
      </c>
      <c r="H41" s="220"/>
      <c r="I41" s="220"/>
      <c r="J41" s="81"/>
      <c r="K41" s="81"/>
      <c r="L41" s="81"/>
      <c r="M41" s="81"/>
      <c r="N41" s="81"/>
    </row>
    <row r="42" spans="1:14" ht="18" x14ac:dyDescent="0.35">
      <c r="A42" s="81"/>
      <c r="B42" s="81"/>
      <c r="C42" s="81"/>
      <c r="D42" s="81"/>
      <c r="E42" s="81"/>
      <c r="F42" s="81"/>
      <c r="G42" s="81"/>
      <c r="H42" s="81"/>
      <c r="I42" s="81"/>
      <c r="J42" s="81"/>
      <c r="K42" s="81"/>
      <c r="L42" s="81"/>
      <c r="M42" s="81"/>
      <c r="N42" s="81"/>
    </row>
    <row r="43" spans="1:14" ht="18" x14ac:dyDescent="0.35">
      <c r="A43" s="81"/>
      <c r="B43" s="81"/>
      <c r="C43" s="81"/>
      <c r="D43" s="81"/>
      <c r="E43" s="81"/>
      <c r="F43" s="81"/>
      <c r="G43" s="81"/>
      <c r="H43" s="81"/>
      <c r="I43" s="81"/>
      <c r="J43" s="81"/>
      <c r="K43" s="81"/>
      <c r="L43" s="81"/>
      <c r="M43" s="81"/>
      <c r="N43" s="81"/>
    </row>
    <row r="44" spans="1:14" ht="18" x14ac:dyDescent="0.35">
      <c r="A44" s="81"/>
      <c r="B44" s="81"/>
      <c r="C44" s="81"/>
      <c r="D44" s="81"/>
      <c r="E44" s="81"/>
      <c r="F44" s="81"/>
      <c r="G44" s="81"/>
      <c r="H44" s="81"/>
      <c r="I44" s="81"/>
      <c r="J44" s="81"/>
      <c r="K44" s="81"/>
      <c r="L44" s="81"/>
      <c r="M44" s="81"/>
      <c r="N44" s="81"/>
    </row>
  </sheetData>
  <mergeCells count="10">
    <mergeCell ref="B2:M11"/>
    <mergeCell ref="A36:A41"/>
    <mergeCell ref="B36:I37"/>
    <mergeCell ref="G41:I41"/>
    <mergeCell ref="C14:E14"/>
    <mergeCell ref="B20:I22"/>
    <mergeCell ref="A20:A22"/>
    <mergeCell ref="B28:I29"/>
    <mergeCell ref="A28:A33"/>
    <mergeCell ref="G33:I3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workbookViewId="0">
      <selection activeCell="B2" sqref="B2:M11"/>
    </sheetView>
  </sheetViews>
  <sheetFormatPr defaultRowHeight="14.4" x14ac:dyDescent="0.3"/>
  <cols>
    <col min="2" max="2" width="9.6640625" bestFit="1" customWidth="1"/>
    <col min="3" max="3" width="11.33203125" bestFit="1" customWidth="1"/>
  </cols>
  <sheetData>
    <row r="2" spans="2:13" x14ac:dyDescent="0.3">
      <c r="B2" s="215" t="s">
        <v>149</v>
      </c>
      <c r="C2" s="215"/>
      <c r="D2" s="215"/>
      <c r="E2" s="215"/>
      <c r="F2" s="215"/>
      <c r="G2" s="215"/>
      <c r="H2" s="215"/>
      <c r="I2" s="215"/>
      <c r="J2" s="215"/>
      <c r="K2" s="215"/>
      <c r="L2" s="215"/>
      <c r="M2" s="215"/>
    </row>
    <row r="3" spans="2:13" x14ac:dyDescent="0.3">
      <c r="B3" s="215"/>
      <c r="C3" s="215"/>
      <c r="D3" s="215"/>
      <c r="E3" s="215"/>
      <c r="F3" s="215"/>
      <c r="G3" s="215"/>
      <c r="H3" s="215"/>
      <c r="I3" s="215"/>
      <c r="J3" s="215"/>
      <c r="K3" s="215"/>
      <c r="L3" s="215"/>
      <c r="M3" s="215"/>
    </row>
    <row r="4" spans="2:13" x14ac:dyDescent="0.3">
      <c r="B4" s="215"/>
      <c r="C4" s="215"/>
      <c r="D4" s="215"/>
      <c r="E4" s="215"/>
      <c r="F4" s="215"/>
      <c r="G4" s="215"/>
      <c r="H4" s="215"/>
      <c r="I4" s="215"/>
      <c r="J4" s="215"/>
      <c r="K4" s="215"/>
      <c r="L4" s="215"/>
      <c r="M4" s="215"/>
    </row>
    <row r="5" spans="2:13" x14ac:dyDescent="0.3">
      <c r="B5" s="215"/>
      <c r="C5" s="215"/>
      <c r="D5" s="215"/>
      <c r="E5" s="215"/>
      <c r="F5" s="215"/>
      <c r="G5" s="215"/>
      <c r="H5" s="215"/>
      <c r="I5" s="215"/>
      <c r="J5" s="215"/>
      <c r="K5" s="215"/>
      <c r="L5" s="215"/>
      <c r="M5" s="215"/>
    </row>
    <row r="6" spans="2:13" x14ac:dyDescent="0.3">
      <c r="B6" s="215"/>
      <c r="C6" s="215"/>
      <c r="D6" s="215"/>
      <c r="E6" s="215"/>
      <c r="F6" s="215"/>
      <c r="G6" s="215"/>
      <c r="H6" s="215"/>
      <c r="I6" s="215"/>
      <c r="J6" s="215"/>
      <c r="K6" s="215"/>
      <c r="L6" s="215"/>
      <c r="M6" s="215"/>
    </row>
    <row r="7" spans="2:13" x14ac:dyDescent="0.3">
      <c r="B7" s="215"/>
      <c r="C7" s="215"/>
      <c r="D7" s="215"/>
      <c r="E7" s="215"/>
      <c r="F7" s="215"/>
      <c r="G7" s="215"/>
      <c r="H7" s="215"/>
      <c r="I7" s="215"/>
      <c r="J7" s="215"/>
      <c r="K7" s="215"/>
      <c r="L7" s="215"/>
      <c r="M7" s="215"/>
    </row>
    <row r="8" spans="2:13" x14ac:dyDescent="0.3">
      <c r="B8" s="215"/>
      <c r="C8" s="215"/>
      <c r="D8" s="215"/>
      <c r="E8" s="215"/>
      <c r="F8" s="215"/>
      <c r="G8" s="215"/>
      <c r="H8" s="215"/>
      <c r="I8" s="215"/>
      <c r="J8" s="215"/>
      <c r="K8" s="215"/>
      <c r="L8" s="215"/>
      <c r="M8" s="215"/>
    </row>
    <row r="9" spans="2:13" x14ac:dyDescent="0.3">
      <c r="B9" s="215"/>
      <c r="C9" s="215"/>
      <c r="D9" s="215"/>
      <c r="E9" s="215"/>
      <c r="F9" s="215"/>
      <c r="G9" s="215"/>
      <c r="H9" s="215"/>
      <c r="I9" s="215"/>
      <c r="J9" s="215"/>
      <c r="K9" s="215"/>
      <c r="L9" s="215"/>
      <c r="M9" s="215"/>
    </row>
    <row r="10" spans="2:13" x14ac:dyDescent="0.3">
      <c r="B10" s="215"/>
      <c r="C10" s="215"/>
      <c r="D10" s="215"/>
      <c r="E10" s="215"/>
      <c r="F10" s="215"/>
      <c r="G10" s="215"/>
      <c r="H10" s="215"/>
      <c r="I10" s="215"/>
      <c r="J10" s="215"/>
      <c r="K10" s="215"/>
      <c r="L10" s="215"/>
      <c r="M10" s="215"/>
    </row>
    <row r="11" spans="2:13" x14ac:dyDescent="0.3">
      <c r="B11" s="215"/>
      <c r="C11" s="215"/>
      <c r="D11" s="215"/>
      <c r="E11" s="215"/>
      <c r="F11" s="215"/>
      <c r="G11" s="215"/>
      <c r="H11" s="215"/>
      <c r="I11" s="215"/>
      <c r="J11" s="215"/>
      <c r="K11" s="215"/>
      <c r="L11" s="215"/>
      <c r="M11" s="215"/>
    </row>
    <row r="14" spans="2:13" ht="18" x14ac:dyDescent="0.35">
      <c r="B14" s="84" t="s">
        <v>17</v>
      </c>
      <c r="C14" s="83">
        <v>0.97</v>
      </c>
      <c r="D14" s="82"/>
    </row>
    <row r="15" spans="2:13" ht="18" x14ac:dyDescent="0.35">
      <c r="B15" s="84" t="s">
        <v>124</v>
      </c>
      <c r="C15" s="83">
        <v>0.95</v>
      </c>
      <c r="D15" s="82"/>
    </row>
    <row r="16" spans="2:13" ht="18" x14ac:dyDescent="0.35">
      <c r="B16" s="84" t="s">
        <v>125</v>
      </c>
      <c r="C16" s="189">
        <v>3</v>
      </c>
      <c r="D16" s="82" t="s">
        <v>127</v>
      </c>
    </row>
    <row r="17" spans="1:14" ht="18" x14ac:dyDescent="0.35">
      <c r="B17" s="84" t="s">
        <v>126</v>
      </c>
      <c r="C17" s="83">
        <f>103</f>
        <v>103</v>
      </c>
      <c r="D17" s="82" t="s">
        <v>128</v>
      </c>
    </row>
    <row r="18" spans="1:14" ht="18" x14ac:dyDescent="0.35">
      <c r="B18" s="84" t="s">
        <v>130</v>
      </c>
      <c r="C18" s="83">
        <v>99</v>
      </c>
      <c r="D18" s="82"/>
    </row>
    <row r="19" spans="1:14" ht="18" x14ac:dyDescent="0.35">
      <c r="B19" s="84" t="s">
        <v>129</v>
      </c>
      <c r="C19" s="83">
        <v>102</v>
      </c>
      <c r="D19" s="82"/>
    </row>
    <row r="22" spans="1:14" ht="18" x14ac:dyDescent="0.35">
      <c r="A22" s="225" t="s">
        <v>8</v>
      </c>
      <c r="B22" s="143" t="s">
        <v>131</v>
      </c>
      <c r="C22" s="191">
        <f>C16</f>
        <v>3</v>
      </c>
    </row>
    <row r="23" spans="1:14" ht="18" x14ac:dyDescent="0.35">
      <c r="A23" s="225"/>
      <c r="B23" s="143" t="s">
        <v>132</v>
      </c>
      <c r="C23" s="191">
        <f>C17</f>
        <v>103</v>
      </c>
    </row>
    <row r="24" spans="1:14" ht="18" x14ac:dyDescent="0.35">
      <c r="A24" s="195" t="s">
        <v>9</v>
      </c>
      <c r="B24" s="193" t="s">
        <v>119</v>
      </c>
      <c r="C24" s="194">
        <f>C22*C14+C23*C15</f>
        <v>100.75999999999999</v>
      </c>
    </row>
    <row r="25" spans="1:14" ht="18" x14ac:dyDescent="0.3">
      <c r="A25" s="195" t="s">
        <v>10</v>
      </c>
      <c r="B25" s="224" t="s">
        <v>133</v>
      </c>
      <c r="C25" s="224"/>
      <c r="D25" s="224"/>
      <c r="E25" s="224"/>
      <c r="F25" s="224"/>
      <c r="G25" s="224"/>
      <c r="H25" s="224"/>
      <c r="I25" s="224"/>
      <c r="J25" s="192"/>
      <c r="K25" s="192"/>
      <c r="L25" s="192"/>
      <c r="M25" s="192"/>
      <c r="N25" s="192"/>
    </row>
    <row r="26" spans="1:14" ht="18" x14ac:dyDescent="0.3">
      <c r="A26" s="195" t="s">
        <v>82</v>
      </c>
      <c r="B26" s="224" t="s">
        <v>134</v>
      </c>
      <c r="C26" s="224"/>
      <c r="D26" s="224"/>
      <c r="E26" s="224"/>
      <c r="F26" s="224"/>
      <c r="G26" s="224"/>
      <c r="H26" s="224"/>
      <c r="I26" s="224"/>
    </row>
  </sheetData>
  <mergeCells count="4">
    <mergeCell ref="B2:M11"/>
    <mergeCell ref="B25:I25"/>
    <mergeCell ref="B26:I26"/>
    <mergeCell ref="A22:A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3"/>
  <sheetViews>
    <sheetView workbookViewId="0">
      <selection activeCell="M25" sqref="M25"/>
    </sheetView>
  </sheetViews>
  <sheetFormatPr defaultRowHeight="14.4" x14ac:dyDescent="0.3"/>
  <cols>
    <col min="2" max="2" width="19.44140625" bestFit="1" customWidth="1"/>
    <col min="3" max="3" width="15.6640625" bestFit="1" customWidth="1"/>
  </cols>
  <sheetData>
    <row r="2" spans="2:16" ht="15" customHeight="1" x14ac:dyDescent="0.3">
      <c r="B2" s="215" t="s">
        <v>135</v>
      </c>
      <c r="C2" s="215"/>
      <c r="D2" s="215"/>
      <c r="E2" s="215"/>
      <c r="F2" s="215"/>
      <c r="G2" s="215"/>
      <c r="H2" s="215"/>
      <c r="I2" s="215"/>
      <c r="J2" s="215"/>
      <c r="K2" s="215"/>
      <c r="L2" s="215"/>
      <c r="M2" s="215"/>
    </row>
    <row r="3" spans="2:16" ht="15" customHeight="1" x14ac:dyDescent="0.3">
      <c r="B3" s="215"/>
      <c r="C3" s="215"/>
      <c r="D3" s="215"/>
      <c r="E3" s="215"/>
      <c r="F3" s="215"/>
      <c r="G3" s="215"/>
      <c r="H3" s="215"/>
      <c r="I3" s="215"/>
      <c r="J3" s="215"/>
      <c r="K3" s="215"/>
      <c r="L3" s="215"/>
      <c r="M3" s="215"/>
    </row>
    <row r="4" spans="2:16" ht="15" customHeight="1" x14ac:dyDescent="0.3">
      <c r="B4" s="215"/>
      <c r="C4" s="215"/>
      <c r="D4" s="215"/>
      <c r="E4" s="215"/>
      <c r="F4" s="215"/>
      <c r="G4" s="215"/>
      <c r="H4" s="215"/>
      <c r="I4" s="215"/>
      <c r="J4" s="215"/>
      <c r="K4" s="215"/>
      <c r="L4" s="215"/>
      <c r="M4" s="215"/>
    </row>
    <row r="5" spans="2:16" ht="15" customHeight="1" x14ac:dyDescent="0.3">
      <c r="B5" s="215"/>
      <c r="C5" s="215"/>
      <c r="D5" s="215"/>
      <c r="E5" s="215"/>
      <c r="F5" s="215"/>
      <c r="G5" s="215"/>
      <c r="H5" s="215"/>
      <c r="I5" s="215"/>
      <c r="J5" s="215"/>
      <c r="K5" s="215"/>
      <c r="L5" s="215"/>
      <c r="M5" s="215"/>
    </row>
    <row r="6" spans="2:16" ht="15" customHeight="1" x14ac:dyDescent="0.3">
      <c r="B6" s="215"/>
      <c r="C6" s="215"/>
      <c r="D6" s="215"/>
      <c r="E6" s="215"/>
      <c r="F6" s="215"/>
      <c r="G6" s="215"/>
      <c r="H6" s="215"/>
      <c r="I6" s="215"/>
      <c r="J6" s="215"/>
      <c r="K6" s="215"/>
      <c r="L6" s="215"/>
      <c r="M6" s="215"/>
    </row>
    <row r="7" spans="2:16" ht="15" customHeight="1" x14ac:dyDescent="0.3">
      <c r="B7" s="215"/>
      <c r="C7" s="215"/>
      <c r="D7" s="215"/>
      <c r="E7" s="215"/>
      <c r="F7" s="215"/>
      <c r="G7" s="215"/>
      <c r="H7" s="215"/>
      <c r="I7" s="215"/>
      <c r="J7" s="215"/>
      <c r="K7" s="215"/>
      <c r="L7" s="215"/>
      <c r="M7" s="215"/>
    </row>
    <row r="8" spans="2:16" ht="15" customHeight="1" x14ac:dyDescent="0.3">
      <c r="B8" s="215"/>
      <c r="C8" s="215"/>
      <c r="D8" s="215"/>
      <c r="E8" s="215"/>
      <c r="F8" s="215"/>
      <c r="G8" s="215"/>
      <c r="H8" s="215"/>
      <c r="I8" s="215"/>
      <c r="J8" s="215"/>
      <c r="K8" s="215"/>
      <c r="L8" s="215"/>
      <c r="M8" s="215"/>
    </row>
    <row r="9" spans="2:16" ht="15" customHeight="1" x14ac:dyDescent="0.3">
      <c r="B9" s="215"/>
      <c r="C9" s="215"/>
      <c r="D9" s="215"/>
      <c r="E9" s="215"/>
      <c r="F9" s="215"/>
      <c r="G9" s="215"/>
      <c r="H9" s="215"/>
      <c r="I9" s="215"/>
      <c r="J9" s="215"/>
      <c r="K9" s="215"/>
      <c r="L9" s="215"/>
      <c r="M9" s="215"/>
    </row>
    <row r="10" spans="2:16" ht="15" customHeight="1" x14ac:dyDescent="0.3">
      <c r="B10" s="215"/>
      <c r="C10" s="215"/>
      <c r="D10" s="215"/>
      <c r="E10" s="215"/>
      <c r="F10" s="215"/>
      <c r="G10" s="215"/>
      <c r="H10" s="215"/>
      <c r="I10" s="215"/>
      <c r="J10" s="215"/>
      <c r="K10" s="215"/>
      <c r="L10" s="215"/>
      <c r="M10" s="215"/>
    </row>
    <row r="11" spans="2:16" ht="15" customHeight="1" x14ac:dyDescent="0.3">
      <c r="B11" s="215"/>
      <c r="C11" s="215"/>
      <c r="D11" s="215"/>
      <c r="E11" s="215"/>
      <c r="F11" s="215"/>
      <c r="G11" s="215"/>
      <c r="H11" s="215"/>
      <c r="I11" s="215"/>
      <c r="J11" s="215"/>
      <c r="K11" s="215"/>
      <c r="L11" s="215"/>
      <c r="M11" s="215"/>
    </row>
    <row r="12" spans="2:16" x14ac:dyDescent="0.3">
      <c r="B12" s="215"/>
      <c r="C12" s="215"/>
      <c r="D12" s="215"/>
      <c r="E12" s="215"/>
      <c r="F12" s="215"/>
      <c r="G12" s="215"/>
      <c r="H12" s="215"/>
      <c r="I12" s="215"/>
      <c r="J12" s="215"/>
      <c r="K12" s="215"/>
      <c r="L12" s="215"/>
      <c r="M12" s="215"/>
    </row>
    <row r="13" spans="2:16" x14ac:dyDescent="0.3">
      <c r="B13" s="215"/>
      <c r="C13" s="215"/>
      <c r="D13" s="215"/>
      <c r="E13" s="215"/>
      <c r="F13" s="215"/>
      <c r="G13" s="215"/>
      <c r="H13" s="215"/>
      <c r="I13" s="215"/>
      <c r="J13" s="215"/>
      <c r="K13" s="215"/>
      <c r="L13" s="215"/>
      <c r="M13" s="215"/>
    </row>
    <row r="14" spans="2:16" x14ac:dyDescent="0.3">
      <c r="B14" s="215"/>
      <c r="C14" s="215"/>
      <c r="D14" s="215"/>
      <c r="E14" s="215"/>
      <c r="F14" s="215"/>
      <c r="G14" s="215"/>
      <c r="H14" s="215"/>
      <c r="I14" s="215"/>
      <c r="J14" s="215"/>
      <c r="K14" s="215"/>
      <c r="L14" s="215"/>
      <c r="M14" s="215"/>
    </row>
    <row r="16" spans="2:16" ht="18" x14ac:dyDescent="0.35">
      <c r="B16" s="196" t="s">
        <v>136</v>
      </c>
      <c r="C16" s="81"/>
      <c r="D16" s="81"/>
      <c r="E16" s="81"/>
      <c r="F16" s="81"/>
      <c r="G16" s="81"/>
      <c r="H16" s="81"/>
      <c r="I16" s="81"/>
      <c r="J16" s="81"/>
      <c r="K16" s="81"/>
      <c r="L16" s="81"/>
      <c r="M16" s="81"/>
      <c r="N16" s="81"/>
      <c r="O16" s="81"/>
      <c r="P16" s="81"/>
    </row>
    <row r="17" spans="2:16" ht="18" x14ac:dyDescent="0.35">
      <c r="B17" s="84" t="s">
        <v>112</v>
      </c>
      <c r="C17" s="180">
        <v>0.04</v>
      </c>
      <c r="D17" s="81"/>
      <c r="E17" s="81"/>
      <c r="F17" s="81"/>
      <c r="G17" s="81"/>
      <c r="H17" s="81"/>
      <c r="I17" s="81"/>
      <c r="J17" s="81"/>
      <c r="K17" s="81"/>
      <c r="L17" s="81"/>
      <c r="M17" s="81"/>
      <c r="N17" s="81"/>
      <c r="O17" s="81"/>
      <c r="P17" s="81"/>
    </row>
    <row r="18" spans="2:16" ht="18" x14ac:dyDescent="0.35">
      <c r="B18" s="84" t="s">
        <v>118</v>
      </c>
      <c r="C18" s="83">
        <v>1</v>
      </c>
      <c r="D18" s="81"/>
      <c r="E18" s="81"/>
      <c r="F18" s="81"/>
      <c r="G18" s="81"/>
      <c r="H18" s="81"/>
      <c r="I18" s="81"/>
      <c r="J18" s="81"/>
      <c r="K18" s="81"/>
      <c r="L18" s="81"/>
      <c r="M18" s="81"/>
      <c r="N18" s="81"/>
      <c r="O18" s="81"/>
      <c r="P18" s="81"/>
    </row>
    <row r="19" spans="2:16" ht="18" x14ac:dyDescent="0.35">
      <c r="B19" s="84" t="s">
        <v>113</v>
      </c>
      <c r="C19" s="83">
        <v>100</v>
      </c>
      <c r="D19" s="81"/>
      <c r="E19" s="81"/>
      <c r="F19" s="81"/>
      <c r="G19" s="81"/>
      <c r="H19" s="81"/>
      <c r="I19" s="81"/>
      <c r="J19" s="81"/>
      <c r="K19" s="81"/>
      <c r="L19" s="81"/>
      <c r="M19" s="81"/>
      <c r="N19" s="81"/>
      <c r="O19" s="81"/>
      <c r="P19" s="81"/>
    </row>
    <row r="20" spans="2:16" ht="18" x14ac:dyDescent="0.35">
      <c r="B20" s="81"/>
      <c r="C20" s="81"/>
      <c r="D20" s="81"/>
      <c r="E20" s="81"/>
      <c r="F20" s="81"/>
      <c r="G20" s="81"/>
      <c r="H20" s="81"/>
      <c r="I20" s="81"/>
      <c r="J20" s="81"/>
      <c r="K20" s="81"/>
      <c r="L20" s="81"/>
      <c r="M20" s="81"/>
      <c r="N20" s="81"/>
      <c r="O20" s="81"/>
      <c r="P20" s="81"/>
    </row>
    <row r="21" spans="2:16" ht="18" x14ac:dyDescent="0.35">
      <c r="B21" s="226" t="s">
        <v>137</v>
      </c>
      <c r="C21" s="226"/>
      <c r="D21" s="226"/>
      <c r="E21" s="226"/>
      <c r="F21" s="81"/>
      <c r="G21" s="81"/>
      <c r="H21" s="81"/>
      <c r="I21" s="81"/>
      <c r="J21" s="81"/>
      <c r="K21" s="81"/>
      <c r="L21" s="81"/>
      <c r="M21" s="81"/>
      <c r="N21" s="81"/>
      <c r="O21" s="81"/>
      <c r="P21" s="81"/>
    </row>
    <row r="22" spans="2:16" ht="18" x14ac:dyDescent="0.35">
      <c r="B22" s="82"/>
      <c r="C22" s="82">
        <v>0</v>
      </c>
      <c r="D22" s="82">
        <v>1</v>
      </c>
      <c r="E22" s="82">
        <v>2</v>
      </c>
      <c r="F22" s="81"/>
      <c r="G22" s="81"/>
      <c r="H22" s="81"/>
      <c r="I22" s="81"/>
      <c r="J22" s="81"/>
      <c r="K22" s="81"/>
      <c r="L22" s="81"/>
      <c r="M22" s="81"/>
      <c r="N22" s="81"/>
      <c r="O22" s="81"/>
      <c r="P22" s="81"/>
    </row>
    <row r="23" spans="2:16" ht="18" x14ac:dyDescent="0.35">
      <c r="B23" s="84" t="s">
        <v>7</v>
      </c>
      <c r="C23" s="83">
        <v>-97</v>
      </c>
      <c r="D23" s="83">
        <v>100</v>
      </c>
      <c r="E23" s="82"/>
      <c r="F23" s="81"/>
      <c r="G23" s="81"/>
      <c r="H23" s="81"/>
      <c r="I23" s="81"/>
      <c r="J23" s="81"/>
      <c r="K23" s="81"/>
      <c r="L23" s="81"/>
      <c r="M23" s="81"/>
      <c r="N23" s="81"/>
      <c r="O23" s="81"/>
      <c r="P23" s="81"/>
    </row>
    <row r="24" spans="2:16" ht="18" x14ac:dyDescent="0.35">
      <c r="B24" s="84" t="s">
        <v>64</v>
      </c>
      <c r="C24" s="82"/>
      <c r="D24" s="83">
        <v>-97.5</v>
      </c>
      <c r="E24" s="83">
        <v>100</v>
      </c>
      <c r="F24" s="81"/>
      <c r="G24" s="81"/>
      <c r="H24" s="81"/>
      <c r="I24" s="81"/>
      <c r="J24" s="81"/>
      <c r="K24" s="81"/>
      <c r="L24" s="81"/>
      <c r="M24" s="81"/>
      <c r="N24" s="81"/>
      <c r="O24" s="81"/>
      <c r="P24" s="81"/>
    </row>
    <row r="25" spans="2:16" ht="18" x14ac:dyDescent="0.35">
      <c r="B25" s="82" t="s">
        <v>136</v>
      </c>
      <c r="C25" s="82"/>
      <c r="D25" s="82">
        <f>C17*C19</f>
        <v>4</v>
      </c>
      <c r="E25" s="82">
        <f>C17*C19+C19</f>
        <v>104</v>
      </c>
      <c r="F25" s="81"/>
      <c r="G25" s="81"/>
      <c r="H25" s="81"/>
      <c r="I25" s="81"/>
      <c r="J25" s="81"/>
      <c r="K25" s="81"/>
      <c r="L25" s="81"/>
      <c r="M25" s="81"/>
      <c r="N25" s="81"/>
      <c r="O25" s="81"/>
      <c r="P25" s="81"/>
    </row>
    <row r="26" spans="2:16" ht="18" x14ac:dyDescent="0.35">
      <c r="B26" s="81"/>
      <c r="C26" s="81"/>
      <c r="D26" s="81"/>
      <c r="E26" s="81"/>
      <c r="F26" s="81"/>
      <c r="G26" s="81"/>
      <c r="H26" s="81"/>
      <c r="I26" s="81"/>
      <c r="J26" s="81"/>
      <c r="K26" s="81"/>
      <c r="L26" s="81"/>
      <c r="M26" s="81"/>
      <c r="N26" s="81"/>
      <c r="O26" s="81"/>
      <c r="P26" s="81"/>
    </row>
    <row r="27" spans="2:16" ht="18" x14ac:dyDescent="0.35">
      <c r="B27" s="143" t="s">
        <v>138</v>
      </c>
      <c r="C27" s="87">
        <f>E25/E24</f>
        <v>1.04</v>
      </c>
      <c r="D27" s="81"/>
      <c r="E27" s="81"/>
      <c r="F27" s="81"/>
      <c r="G27" s="81"/>
      <c r="H27" s="81"/>
      <c r="I27" s="81"/>
      <c r="J27" s="81"/>
      <c r="K27" s="81"/>
      <c r="L27" s="81"/>
      <c r="M27" s="81"/>
      <c r="N27" s="81"/>
      <c r="O27" s="81"/>
      <c r="P27" s="81"/>
    </row>
    <row r="28" spans="2:16" ht="18" x14ac:dyDescent="0.35">
      <c r="B28" s="143" t="s">
        <v>139</v>
      </c>
      <c r="C28" s="87">
        <f>(D25-C27*D24)/D23</f>
        <v>1.054</v>
      </c>
      <c r="D28" s="81"/>
      <c r="E28" s="81"/>
      <c r="F28" s="81"/>
      <c r="G28" s="81"/>
      <c r="H28" s="81"/>
      <c r="I28" s="81"/>
      <c r="J28" s="81"/>
      <c r="K28" s="81"/>
      <c r="L28" s="81"/>
      <c r="M28" s="81"/>
      <c r="N28" s="81"/>
      <c r="O28" s="81"/>
      <c r="P28" s="81"/>
    </row>
    <row r="29" spans="2:16" ht="18" x14ac:dyDescent="0.35">
      <c r="B29" s="143" t="s">
        <v>140</v>
      </c>
      <c r="C29" s="190">
        <f>C28*C23</f>
        <v>-102.238</v>
      </c>
      <c r="D29" s="81"/>
      <c r="E29" s="227" t="s">
        <v>141</v>
      </c>
      <c r="F29" s="227"/>
      <c r="G29" s="227"/>
      <c r="H29" s="227"/>
      <c r="I29" s="227"/>
      <c r="J29" s="227"/>
      <c r="K29" s="227"/>
      <c r="L29" s="227"/>
      <c r="M29" s="227"/>
      <c r="N29" s="81"/>
      <c r="O29" s="81"/>
      <c r="P29" s="81"/>
    </row>
    <row r="30" spans="2:16" ht="18" x14ac:dyDescent="0.35">
      <c r="B30" s="81"/>
      <c r="C30" s="81"/>
      <c r="D30" s="81"/>
      <c r="E30" s="81"/>
      <c r="F30" s="81"/>
      <c r="G30" s="81"/>
      <c r="H30" s="81"/>
      <c r="I30" s="81"/>
      <c r="J30" s="81"/>
      <c r="K30" s="81"/>
      <c r="L30" s="81"/>
      <c r="M30" s="81"/>
      <c r="N30" s="81"/>
      <c r="O30" s="81"/>
      <c r="P30" s="81"/>
    </row>
    <row r="31" spans="2:16" ht="18.75" customHeight="1" x14ac:dyDescent="0.35">
      <c r="B31" s="209" t="s">
        <v>142</v>
      </c>
      <c r="C31" s="209"/>
      <c r="D31" s="209"/>
      <c r="E31" s="209"/>
      <c r="F31" s="209"/>
      <c r="G31" s="209"/>
      <c r="H31" s="209"/>
      <c r="I31" s="209"/>
      <c r="J31" s="209"/>
      <c r="K31" s="209"/>
      <c r="L31" s="209"/>
      <c r="M31" s="209"/>
      <c r="N31" s="209"/>
      <c r="O31" s="209"/>
      <c r="P31" s="81"/>
    </row>
    <row r="32" spans="2:16" ht="18" x14ac:dyDescent="0.35">
      <c r="B32" s="209"/>
      <c r="C32" s="209"/>
      <c r="D32" s="209"/>
      <c r="E32" s="209"/>
      <c r="F32" s="209"/>
      <c r="G32" s="209"/>
      <c r="H32" s="209"/>
      <c r="I32" s="209"/>
      <c r="J32" s="209"/>
      <c r="K32" s="209"/>
      <c r="L32" s="209"/>
      <c r="M32" s="209"/>
      <c r="N32" s="209"/>
      <c r="O32" s="209"/>
      <c r="P32" s="81"/>
    </row>
    <row r="33" spans="2:16" ht="18" x14ac:dyDescent="0.35">
      <c r="B33" s="209"/>
      <c r="C33" s="209"/>
      <c r="D33" s="209"/>
      <c r="E33" s="209"/>
      <c r="F33" s="209"/>
      <c r="G33" s="209"/>
      <c r="H33" s="209"/>
      <c r="I33" s="209"/>
      <c r="J33" s="209"/>
      <c r="K33" s="209"/>
      <c r="L33" s="209"/>
      <c r="M33" s="209"/>
      <c r="N33" s="209"/>
      <c r="O33" s="209"/>
      <c r="P33" s="81"/>
    </row>
    <row r="34" spans="2:16" ht="18" x14ac:dyDescent="0.35">
      <c r="B34" s="209"/>
      <c r="C34" s="209"/>
      <c r="D34" s="209"/>
      <c r="E34" s="209"/>
      <c r="F34" s="209"/>
      <c r="G34" s="209"/>
      <c r="H34" s="209"/>
      <c r="I34" s="209"/>
      <c r="J34" s="209"/>
      <c r="K34" s="209"/>
      <c r="L34" s="209"/>
      <c r="M34" s="209"/>
      <c r="N34" s="209"/>
      <c r="O34" s="209"/>
      <c r="P34" s="81"/>
    </row>
    <row r="35" spans="2:16" ht="18" x14ac:dyDescent="0.35">
      <c r="B35" s="209"/>
      <c r="C35" s="209"/>
      <c r="D35" s="209"/>
      <c r="E35" s="209"/>
      <c r="F35" s="209"/>
      <c r="G35" s="209"/>
      <c r="H35" s="209"/>
      <c r="I35" s="209"/>
      <c r="J35" s="209"/>
      <c r="K35" s="209"/>
      <c r="L35" s="209"/>
      <c r="M35" s="209"/>
      <c r="N35" s="209"/>
      <c r="O35" s="209"/>
      <c r="P35" s="81"/>
    </row>
    <row r="36" spans="2:16" ht="18" x14ac:dyDescent="0.35">
      <c r="B36" s="209"/>
      <c r="C36" s="209"/>
      <c r="D36" s="209"/>
      <c r="E36" s="209"/>
      <c r="F36" s="209"/>
      <c r="G36" s="209"/>
      <c r="H36" s="209"/>
      <c r="I36" s="209"/>
      <c r="J36" s="209"/>
      <c r="K36" s="209"/>
      <c r="L36" s="209"/>
      <c r="M36" s="209"/>
      <c r="N36" s="209"/>
      <c r="O36" s="209"/>
      <c r="P36" s="81"/>
    </row>
    <row r="37" spans="2:16" ht="18" x14ac:dyDescent="0.35">
      <c r="B37" s="209"/>
      <c r="C37" s="209"/>
      <c r="D37" s="209"/>
      <c r="E37" s="209"/>
      <c r="F37" s="209"/>
      <c r="G37" s="209"/>
      <c r="H37" s="209"/>
      <c r="I37" s="209"/>
      <c r="J37" s="209"/>
      <c r="K37" s="209"/>
      <c r="L37" s="209"/>
      <c r="M37" s="209"/>
      <c r="N37" s="209"/>
      <c r="O37" s="209"/>
      <c r="P37" s="81"/>
    </row>
    <row r="38" spans="2:16" ht="18" x14ac:dyDescent="0.35">
      <c r="B38" s="209"/>
      <c r="C38" s="209"/>
      <c r="D38" s="209"/>
      <c r="E38" s="209"/>
      <c r="F38" s="209"/>
      <c r="G38" s="209"/>
      <c r="H38" s="209"/>
      <c r="I38" s="209"/>
      <c r="J38" s="209"/>
      <c r="K38" s="209"/>
      <c r="L38" s="209"/>
      <c r="M38" s="209"/>
      <c r="N38" s="209"/>
      <c r="O38" s="209"/>
      <c r="P38" s="81"/>
    </row>
    <row r="39" spans="2:16" ht="18" x14ac:dyDescent="0.35">
      <c r="B39" s="209"/>
      <c r="C39" s="209"/>
      <c r="D39" s="209"/>
      <c r="E39" s="209"/>
      <c r="F39" s="209"/>
      <c r="G39" s="209"/>
      <c r="H39" s="209"/>
      <c r="I39" s="209"/>
      <c r="J39" s="209"/>
      <c r="K39" s="209"/>
      <c r="L39" s="209"/>
      <c r="M39" s="209"/>
      <c r="N39" s="209"/>
      <c r="O39" s="209"/>
      <c r="P39" s="81"/>
    </row>
    <row r="40" spans="2:16" ht="18" x14ac:dyDescent="0.35">
      <c r="B40" s="209"/>
      <c r="C40" s="209"/>
      <c r="D40" s="209"/>
      <c r="E40" s="209"/>
      <c r="F40" s="209"/>
      <c r="G40" s="209"/>
      <c r="H40" s="209"/>
      <c r="I40" s="209"/>
      <c r="J40" s="209"/>
      <c r="K40" s="209"/>
      <c r="L40" s="209"/>
      <c r="M40" s="209"/>
      <c r="N40" s="209"/>
      <c r="O40" s="209"/>
      <c r="P40" s="81"/>
    </row>
    <row r="41" spans="2:16" s="81" customFormat="1" ht="20.100000000000001" customHeight="1" x14ac:dyDescent="0.35">
      <c r="B41" s="192"/>
      <c r="C41" s="192"/>
      <c r="D41" s="192"/>
      <c r="E41" s="192"/>
      <c r="F41" s="192"/>
      <c r="G41" s="192"/>
      <c r="H41" s="192"/>
      <c r="I41" s="192"/>
      <c r="J41" s="192"/>
      <c r="K41" s="192"/>
      <c r="L41" s="192"/>
      <c r="M41" s="192"/>
      <c r="N41" s="192"/>
      <c r="O41" s="192"/>
    </row>
    <row r="42" spans="2:16" s="81" customFormat="1" ht="20.100000000000001" customHeight="1" x14ac:dyDescent="0.35">
      <c r="B42" s="197" t="s">
        <v>144</v>
      </c>
      <c r="C42" s="198">
        <v>10000</v>
      </c>
      <c r="D42" s="192"/>
      <c r="E42" s="192"/>
      <c r="F42" s="192"/>
      <c r="G42" s="192"/>
      <c r="H42" s="192"/>
      <c r="I42" s="192"/>
      <c r="J42" s="192"/>
      <c r="K42" s="192"/>
      <c r="L42" s="192"/>
      <c r="M42" s="192"/>
      <c r="N42" s="192"/>
      <c r="O42" s="192"/>
    </row>
    <row r="43" spans="2:16" s="81" customFormat="1" ht="20.100000000000001" customHeight="1" x14ac:dyDescent="0.35">
      <c r="B43" s="201" t="s">
        <v>143</v>
      </c>
      <c r="C43" s="199">
        <f>C42/(-C28*C23-100)</f>
        <v>4468.2752457551396</v>
      </c>
      <c r="D43" s="192"/>
      <c r="E43" s="192"/>
      <c r="F43" s="192"/>
      <c r="G43" s="192"/>
      <c r="H43" s="192"/>
      <c r="I43" s="192"/>
      <c r="J43" s="192"/>
      <c r="K43" s="192"/>
      <c r="L43" s="192"/>
      <c r="M43" s="192"/>
      <c r="N43" s="192"/>
      <c r="O43" s="192"/>
    </row>
    <row r="44" spans="2:16" s="81" customFormat="1" ht="20.100000000000001" customHeight="1" x14ac:dyDescent="0.35">
      <c r="B44" s="201" t="s">
        <v>145</v>
      </c>
      <c r="C44" s="200">
        <f>C43*100</f>
        <v>446827.52457551396</v>
      </c>
      <c r="D44" s="192"/>
      <c r="E44" s="192"/>
      <c r="F44" s="192"/>
      <c r="G44" s="192"/>
      <c r="H44" s="192"/>
      <c r="I44" s="192"/>
      <c r="J44" s="192"/>
      <c r="K44" s="192"/>
      <c r="L44" s="192"/>
      <c r="M44" s="192"/>
      <c r="N44" s="192"/>
      <c r="O44" s="192"/>
    </row>
    <row r="45" spans="2:16" s="81" customFormat="1" ht="20.100000000000001" customHeight="1" x14ac:dyDescent="0.35"/>
    <row r="46" spans="2:16" s="81" customFormat="1" ht="20.100000000000001" customHeight="1" x14ac:dyDescent="0.35"/>
    <row r="47" spans="2:16" s="81" customFormat="1" ht="20.100000000000001" customHeight="1" x14ac:dyDescent="0.35"/>
    <row r="48" spans="2:16" s="81" customFormat="1" ht="20.100000000000001" customHeight="1" x14ac:dyDescent="0.35"/>
    <row r="49" s="81" customFormat="1" ht="20.100000000000001" customHeight="1" x14ac:dyDescent="0.35"/>
    <row r="50" s="81" customFormat="1" ht="20.100000000000001" customHeight="1" x14ac:dyDescent="0.35"/>
    <row r="51" s="81" customFormat="1" ht="20.100000000000001" customHeight="1" x14ac:dyDescent="0.35"/>
    <row r="52" s="81" customFormat="1" ht="20.100000000000001" customHeight="1" x14ac:dyDescent="0.35"/>
    <row r="53" s="81" customFormat="1" ht="20.100000000000001" customHeight="1" x14ac:dyDescent="0.35"/>
  </sheetData>
  <mergeCells count="4">
    <mergeCell ref="B2:M14"/>
    <mergeCell ref="B21:E21"/>
    <mergeCell ref="E29:M29"/>
    <mergeCell ref="B31:O4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topLeftCell="A14" workbookViewId="0">
      <selection activeCell="Q32" sqref="O32:Q36"/>
    </sheetView>
  </sheetViews>
  <sheetFormatPr defaultRowHeight="18" x14ac:dyDescent="0.35"/>
  <cols>
    <col min="1" max="16384" width="8.88671875" style="81"/>
  </cols>
  <sheetData>
    <row r="2" spans="2:13" x14ac:dyDescent="0.35">
      <c r="B2" s="215" t="s">
        <v>151</v>
      </c>
      <c r="C2" s="215"/>
      <c r="D2" s="215"/>
      <c r="E2" s="215"/>
      <c r="F2" s="215"/>
      <c r="G2" s="215"/>
      <c r="H2" s="215"/>
      <c r="I2" s="215"/>
      <c r="J2" s="215"/>
      <c r="K2" s="215"/>
      <c r="L2" s="215"/>
      <c r="M2" s="215"/>
    </row>
    <row r="3" spans="2:13" x14ac:dyDescent="0.35">
      <c r="B3" s="215"/>
      <c r="C3" s="215"/>
      <c r="D3" s="215"/>
      <c r="E3" s="215"/>
      <c r="F3" s="215"/>
      <c r="G3" s="215"/>
      <c r="H3" s="215"/>
      <c r="I3" s="215"/>
      <c r="J3" s="215"/>
      <c r="K3" s="215"/>
      <c r="L3" s="215"/>
      <c r="M3" s="215"/>
    </row>
    <row r="4" spans="2:13" x14ac:dyDescent="0.35">
      <c r="B4" s="215"/>
      <c r="C4" s="215"/>
      <c r="D4" s="215"/>
      <c r="E4" s="215"/>
      <c r="F4" s="215"/>
      <c r="G4" s="215"/>
      <c r="H4" s="215"/>
      <c r="I4" s="215"/>
      <c r="J4" s="215"/>
      <c r="K4" s="215"/>
      <c r="L4" s="215"/>
      <c r="M4" s="215"/>
    </row>
    <row r="5" spans="2:13" x14ac:dyDescent="0.35">
      <c r="B5" s="215"/>
      <c r="C5" s="215"/>
      <c r="D5" s="215"/>
      <c r="E5" s="215"/>
      <c r="F5" s="215"/>
      <c r="G5" s="215"/>
      <c r="H5" s="215"/>
      <c r="I5" s="215"/>
      <c r="J5" s="215"/>
      <c r="K5" s="215"/>
      <c r="L5" s="215"/>
      <c r="M5" s="215"/>
    </row>
    <row r="6" spans="2:13" x14ac:dyDescent="0.35">
      <c r="B6" s="215"/>
      <c r="C6" s="215"/>
      <c r="D6" s="215"/>
      <c r="E6" s="215"/>
      <c r="F6" s="215"/>
      <c r="G6" s="215"/>
      <c r="H6" s="215"/>
      <c r="I6" s="215"/>
      <c r="J6" s="215"/>
      <c r="K6" s="215"/>
      <c r="L6" s="215"/>
      <c r="M6" s="215"/>
    </row>
    <row r="7" spans="2:13" x14ac:dyDescent="0.35">
      <c r="B7" s="215"/>
      <c r="C7" s="215"/>
      <c r="D7" s="215"/>
      <c r="E7" s="215"/>
      <c r="F7" s="215"/>
      <c r="G7" s="215"/>
      <c r="H7" s="215"/>
      <c r="I7" s="215"/>
      <c r="J7" s="215"/>
      <c r="K7" s="215"/>
      <c r="L7" s="215"/>
      <c r="M7" s="215"/>
    </row>
    <row r="8" spans="2:13" x14ac:dyDescent="0.35">
      <c r="B8" s="215"/>
      <c r="C8" s="215"/>
      <c r="D8" s="215"/>
      <c r="E8" s="215"/>
      <c r="F8" s="215"/>
      <c r="G8" s="215"/>
      <c r="H8" s="215"/>
      <c r="I8" s="215"/>
      <c r="J8" s="215"/>
      <c r="K8" s="215"/>
      <c r="L8" s="215"/>
      <c r="M8" s="215"/>
    </row>
    <row r="9" spans="2:13" x14ac:dyDescent="0.35">
      <c r="B9" s="215"/>
      <c r="C9" s="215"/>
      <c r="D9" s="215"/>
      <c r="E9" s="215"/>
      <c r="F9" s="215"/>
      <c r="G9" s="215"/>
      <c r="H9" s="215"/>
      <c r="I9" s="215"/>
      <c r="J9" s="215"/>
      <c r="K9" s="215"/>
      <c r="L9" s="215"/>
      <c r="M9" s="215"/>
    </row>
    <row r="10" spans="2:13" x14ac:dyDescent="0.35">
      <c r="B10" s="215"/>
      <c r="C10" s="215"/>
      <c r="D10" s="215"/>
      <c r="E10" s="215"/>
      <c r="F10" s="215"/>
      <c r="G10" s="215"/>
      <c r="H10" s="215"/>
      <c r="I10" s="215"/>
      <c r="J10" s="215"/>
      <c r="K10" s="215"/>
      <c r="L10" s="215"/>
      <c r="M10" s="215"/>
    </row>
    <row r="11" spans="2:13" x14ac:dyDescent="0.35">
      <c r="B11" s="215"/>
      <c r="C11" s="215"/>
      <c r="D11" s="215"/>
      <c r="E11" s="215"/>
      <c r="F11" s="215"/>
      <c r="G11" s="215"/>
      <c r="H11" s="215"/>
      <c r="I11" s="215"/>
      <c r="J11" s="215"/>
      <c r="K11" s="215"/>
      <c r="L11" s="215"/>
      <c r="M11" s="215"/>
    </row>
    <row r="12" spans="2:13" x14ac:dyDescent="0.35">
      <c r="B12" s="215"/>
      <c r="C12" s="215"/>
      <c r="D12" s="215"/>
      <c r="E12" s="215"/>
      <c r="F12" s="215"/>
      <c r="G12" s="215"/>
      <c r="H12" s="215"/>
      <c r="I12" s="215"/>
      <c r="J12" s="215"/>
      <c r="K12" s="215"/>
      <c r="L12" s="215"/>
      <c r="M12" s="215"/>
    </row>
    <row r="13" spans="2:13" x14ac:dyDescent="0.35">
      <c r="B13" s="215"/>
      <c r="C13" s="215"/>
      <c r="D13" s="215"/>
      <c r="E13" s="215"/>
      <c r="F13" s="215"/>
      <c r="G13" s="215"/>
      <c r="H13" s="215"/>
      <c r="I13" s="215"/>
      <c r="J13" s="215"/>
      <c r="K13" s="215"/>
      <c r="L13" s="215"/>
      <c r="M13" s="215"/>
    </row>
    <row r="14" spans="2:13" x14ac:dyDescent="0.35">
      <c r="B14" s="215"/>
      <c r="C14" s="215"/>
      <c r="D14" s="215"/>
      <c r="E14" s="215"/>
      <c r="F14" s="215"/>
      <c r="G14" s="215"/>
      <c r="H14" s="215"/>
      <c r="I14" s="215"/>
      <c r="J14" s="215"/>
      <c r="K14" s="215"/>
      <c r="L14" s="215"/>
      <c r="M14" s="215"/>
    </row>
    <row r="15" spans="2:13" x14ac:dyDescent="0.35">
      <c r="B15" s="215"/>
      <c r="C15" s="215"/>
      <c r="D15" s="215"/>
      <c r="E15" s="215"/>
      <c r="F15" s="215"/>
      <c r="G15" s="215"/>
      <c r="H15" s="215"/>
      <c r="I15" s="215"/>
      <c r="J15" s="215"/>
      <c r="K15" s="215"/>
      <c r="L15" s="215"/>
      <c r="M15" s="215"/>
    </row>
  </sheetData>
  <mergeCells count="1">
    <mergeCell ref="B2:M1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workbookViewId="0">
      <selection activeCell="B2" sqref="B2:N17"/>
    </sheetView>
  </sheetViews>
  <sheetFormatPr defaultRowHeight="18" x14ac:dyDescent="0.35"/>
  <cols>
    <col min="1" max="16384" width="8.88671875" style="81"/>
  </cols>
  <sheetData>
    <row r="2" spans="2:14" x14ac:dyDescent="0.35">
      <c r="B2" s="215"/>
      <c r="C2" s="215"/>
      <c r="D2" s="215"/>
      <c r="E2" s="215"/>
      <c r="F2" s="215"/>
      <c r="G2" s="215"/>
      <c r="H2" s="215"/>
      <c r="I2" s="215"/>
      <c r="J2" s="215"/>
      <c r="K2" s="215"/>
      <c r="L2" s="215"/>
      <c r="M2" s="215"/>
      <c r="N2" s="215"/>
    </row>
    <row r="3" spans="2:14" x14ac:dyDescent="0.35">
      <c r="B3" s="215"/>
      <c r="C3" s="215"/>
      <c r="D3" s="215"/>
      <c r="E3" s="215"/>
      <c r="F3" s="215"/>
      <c r="G3" s="215"/>
      <c r="H3" s="215"/>
      <c r="I3" s="215"/>
      <c r="J3" s="215"/>
      <c r="K3" s="215"/>
      <c r="L3" s="215"/>
      <c r="M3" s="215"/>
      <c r="N3" s="215"/>
    </row>
    <row r="4" spans="2:14" x14ac:dyDescent="0.35">
      <c r="B4" s="215"/>
      <c r="C4" s="215"/>
      <c r="D4" s="215"/>
      <c r="E4" s="215"/>
      <c r="F4" s="215"/>
      <c r="G4" s="215"/>
      <c r="H4" s="215"/>
      <c r="I4" s="215"/>
      <c r="J4" s="215"/>
      <c r="K4" s="215"/>
      <c r="L4" s="215"/>
      <c r="M4" s="215"/>
      <c r="N4" s="215"/>
    </row>
    <row r="5" spans="2:14" x14ac:dyDescent="0.35">
      <c r="B5" s="215"/>
      <c r="C5" s="215"/>
      <c r="D5" s="215"/>
      <c r="E5" s="215"/>
      <c r="F5" s="215"/>
      <c r="G5" s="215"/>
      <c r="H5" s="215"/>
      <c r="I5" s="215"/>
      <c r="J5" s="215"/>
      <c r="K5" s="215"/>
      <c r="L5" s="215"/>
      <c r="M5" s="215"/>
      <c r="N5" s="215"/>
    </row>
    <row r="6" spans="2:14" x14ac:dyDescent="0.35">
      <c r="B6" s="215"/>
      <c r="C6" s="215"/>
      <c r="D6" s="215"/>
      <c r="E6" s="215"/>
      <c r="F6" s="215"/>
      <c r="G6" s="215"/>
      <c r="H6" s="215"/>
      <c r="I6" s="215"/>
      <c r="J6" s="215"/>
      <c r="K6" s="215"/>
      <c r="L6" s="215"/>
      <c r="M6" s="215"/>
      <c r="N6" s="215"/>
    </row>
    <row r="7" spans="2:14" x14ac:dyDescent="0.35">
      <c r="B7" s="215"/>
      <c r="C7" s="215"/>
      <c r="D7" s="215"/>
      <c r="E7" s="215"/>
      <c r="F7" s="215"/>
      <c r="G7" s="215"/>
      <c r="H7" s="215"/>
      <c r="I7" s="215"/>
      <c r="J7" s="215"/>
      <c r="K7" s="215"/>
      <c r="L7" s="215"/>
      <c r="M7" s="215"/>
      <c r="N7" s="215"/>
    </row>
    <row r="8" spans="2:14" x14ac:dyDescent="0.35">
      <c r="B8" s="215"/>
      <c r="C8" s="215"/>
      <c r="D8" s="215"/>
      <c r="E8" s="215"/>
      <c r="F8" s="215"/>
      <c r="G8" s="215"/>
      <c r="H8" s="215"/>
      <c r="I8" s="215"/>
      <c r="J8" s="215"/>
      <c r="K8" s="215"/>
      <c r="L8" s="215"/>
      <c r="M8" s="215"/>
      <c r="N8" s="215"/>
    </row>
    <row r="9" spans="2:14" x14ac:dyDescent="0.35">
      <c r="B9" s="215"/>
      <c r="C9" s="215"/>
      <c r="D9" s="215"/>
      <c r="E9" s="215"/>
      <c r="F9" s="215"/>
      <c r="G9" s="215"/>
      <c r="H9" s="215"/>
      <c r="I9" s="215"/>
      <c r="J9" s="215"/>
      <c r="K9" s="215"/>
      <c r="L9" s="215"/>
      <c r="M9" s="215"/>
      <c r="N9" s="215"/>
    </row>
    <row r="10" spans="2:14" x14ac:dyDescent="0.35">
      <c r="B10" s="215"/>
      <c r="C10" s="215"/>
      <c r="D10" s="215"/>
      <c r="E10" s="215"/>
      <c r="F10" s="215"/>
      <c r="G10" s="215"/>
      <c r="H10" s="215"/>
      <c r="I10" s="215"/>
      <c r="J10" s="215"/>
      <c r="K10" s="215"/>
      <c r="L10" s="215"/>
      <c r="M10" s="215"/>
      <c r="N10" s="215"/>
    </row>
    <row r="11" spans="2:14" x14ac:dyDescent="0.35">
      <c r="B11" s="215"/>
      <c r="C11" s="215"/>
      <c r="D11" s="215"/>
      <c r="E11" s="215"/>
      <c r="F11" s="215"/>
      <c r="G11" s="215"/>
      <c r="H11" s="215"/>
      <c r="I11" s="215"/>
      <c r="J11" s="215"/>
      <c r="K11" s="215"/>
      <c r="L11" s="215"/>
      <c r="M11" s="215"/>
      <c r="N11" s="215"/>
    </row>
    <row r="12" spans="2:14" x14ac:dyDescent="0.35">
      <c r="B12" s="215"/>
      <c r="C12" s="215"/>
      <c r="D12" s="215"/>
      <c r="E12" s="215"/>
      <c r="F12" s="215"/>
      <c r="G12" s="215"/>
      <c r="H12" s="215"/>
      <c r="I12" s="215"/>
      <c r="J12" s="215"/>
      <c r="K12" s="215"/>
      <c r="L12" s="215"/>
      <c r="M12" s="215"/>
      <c r="N12" s="215"/>
    </row>
    <row r="13" spans="2:14" x14ac:dyDescent="0.35">
      <c r="B13" s="215"/>
      <c r="C13" s="215"/>
      <c r="D13" s="215"/>
      <c r="E13" s="215"/>
      <c r="F13" s="215"/>
      <c r="G13" s="215"/>
      <c r="H13" s="215"/>
      <c r="I13" s="215"/>
      <c r="J13" s="215"/>
      <c r="K13" s="215"/>
      <c r="L13" s="215"/>
      <c r="M13" s="215"/>
      <c r="N13" s="215"/>
    </row>
    <row r="14" spans="2:14" x14ac:dyDescent="0.35">
      <c r="B14" s="215"/>
      <c r="C14" s="215"/>
      <c r="D14" s="215"/>
      <c r="E14" s="215"/>
      <c r="F14" s="215"/>
      <c r="G14" s="215"/>
      <c r="H14" s="215"/>
      <c r="I14" s="215"/>
      <c r="J14" s="215"/>
      <c r="K14" s="215"/>
      <c r="L14" s="215"/>
      <c r="M14" s="215"/>
      <c r="N14" s="215"/>
    </row>
    <row r="15" spans="2:14" x14ac:dyDescent="0.35">
      <c r="B15" s="215"/>
      <c r="C15" s="215"/>
      <c r="D15" s="215"/>
      <c r="E15" s="215"/>
      <c r="F15" s="215"/>
      <c r="G15" s="215"/>
      <c r="H15" s="215"/>
      <c r="I15" s="215"/>
      <c r="J15" s="215"/>
      <c r="K15" s="215"/>
      <c r="L15" s="215"/>
      <c r="M15" s="215"/>
      <c r="N15" s="215"/>
    </row>
    <row r="16" spans="2:14" x14ac:dyDescent="0.35">
      <c r="B16" s="215"/>
      <c r="C16" s="215"/>
      <c r="D16" s="215"/>
      <c r="E16" s="215"/>
      <c r="F16" s="215"/>
      <c r="G16" s="215"/>
      <c r="H16" s="215"/>
      <c r="I16" s="215"/>
      <c r="J16" s="215"/>
      <c r="K16" s="215"/>
      <c r="L16" s="215"/>
      <c r="M16" s="215"/>
      <c r="N16" s="215"/>
    </row>
    <row r="17" spans="2:14" x14ac:dyDescent="0.35">
      <c r="B17" s="215"/>
      <c r="C17" s="215"/>
      <c r="D17" s="215"/>
      <c r="E17" s="215"/>
      <c r="F17" s="215"/>
      <c r="G17" s="215"/>
      <c r="H17" s="215"/>
      <c r="I17" s="215"/>
      <c r="J17" s="215"/>
      <c r="K17" s="215"/>
      <c r="L17" s="215"/>
      <c r="M17" s="215"/>
      <c r="N17" s="215"/>
    </row>
  </sheetData>
  <mergeCells count="1">
    <mergeCell ref="B2:N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3"/>
  <sheetViews>
    <sheetView workbookViewId="0">
      <selection activeCell="B2" sqref="B2:M13"/>
    </sheetView>
  </sheetViews>
  <sheetFormatPr defaultRowHeight="18" x14ac:dyDescent="0.35"/>
  <cols>
    <col min="1" max="16384" width="8.88671875" style="81"/>
  </cols>
  <sheetData>
    <row r="2" spans="2:13" x14ac:dyDescent="0.35">
      <c r="B2" s="215" t="s">
        <v>152</v>
      </c>
      <c r="C2" s="215"/>
      <c r="D2" s="215"/>
      <c r="E2" s="215"/>
      <c r="F2" s="215"/>
      <c r="G2" s="215"/>
      <c r="H2" s="215"/>
      <c r="I2" s="215"/>
      <c r="J2" s="215"/>
      <c r="K2" s="215"/>
      <c r="L2" s="215"/>
      <c r="M2" s="215"/>
    </row>
    <row r="3" spans="2:13" x14ac:dyDescent="0.35">
      <c r="B3" s="215"/>
      <c r="C3" s="215"/>
      <c r="D3" s="215"/>
      <c r="E3" s="215"/>
      <c r="F3" s="215"/>
      <c r="G3" s="215"/>
      <c r="H3" s="215"/>
      <c r="I3" s="215"/>
      <c r="J3" s="215"/>
      <c r="K3" s="215"/>
      <c r="L3" s="215"/>
      <c r="M3" s="215"/>
    </row>
    <row r="4" spans="2:13" x14ac:dyDescent="0.35">
      <c r="B4" s="215"/>
      <c r="C4" s="215"/>
      <c r="D4" s="215"/>
      <c r="E4" s="215"/>
      <c r="F4" s="215"/>
      <c r="G4" s="215"/>
      <c r="H4" s="215"/>
      <c r="I4" s="215"/>
      <c r="J4" s="215"/>
      <c r="K4" s="215"/>
      <c r="L4" s="215"/>
      <c r="M4" s="215"/>
    </row>
    <row r="5" spans="2:13" x14ac:dyDescent="0.35">
      <c r="B5" s="215"/>
      <c r="C5" s="215"/>
      <c r="D5" s="215"/>
      <c r="E5" s="215"/>
      <c r="F5" s="215"/>
      <c r="G5" s="215"/>
      <c r="H5" s="215"/>
      <c r="I5" s="215"/>
      <c r="J5" s="215"/>
      <c r="K5" s="215"/>
      <c r="L5" s="215"/>
      <c r="M5" s="215"/>
    </row>
    <row r="6" spans="2:13" x14ac:dyDescent="0.35">
      <c r="B6" s="215"/>
      <c r="C6" s="215"/>
      <c r="D6" s="215"/>
      <c r="E6" s="215"/>
      <c r="F6" s="215"/>
      <c r="G6" s="215"/>
      <c r="H6" s="215"/>
      <c r="I6" s="215"/>
      <c r="J6" s="215"/>
      <c r="K6" s="215"/>
      <c r="L6" s="215"/>
      <c r="M6" s="215"/>
    </row>
    <row r="7" spans="2:13" x14ac:dyDescent="0.35">
      <c r="B7" s="215"/>
      <c r="C7" s="215"/>
      <c r="D7" s="215"/>
      <c r="E7" s="215"/>
      <c r="F7" s="215"/>
      <c r="G7" s="215"/>
      <c r="H7" s="215"/>
      <c r="I7" s="215"/>
      <c r="J7" s="215"/>
      <c r="K7" s="215"/>
      <c r="L7" s="215"/>
      <c r="M7" s="215"/>
    </row>
    <row r="8" spans="2:13" x14ac:dyDescent="0.35">
      <c r="B8" s="215"/>
      <c r="C8" s="215"/>
      <c r="D8" s="215"/>
      <c r="E8" s="215"/>
      <c r="F8" s="215"/>
      <c r="G8" s="215"/>
      <c r="H8" s="215"/>
      <c r="I8" s="215"/>
      <c r="J8" s="215"/>
      <c r="K8" s="215"/>
      <c r="L8" s="215"/>
      <c r="M8" s="215"/>
    </row>
    <row r="9" spans="2:13" x14ac:dyDescent="0.35">
      <c r="B9" s="215"/>
      <c r="C9" s="215"/>
      <c r="D9" s="215"/>
      <c r="E9" s="215"/>
      <c r="F9" s="215"/>
      <c r="G9" s="215"/>
      <c r="H9" s="215"/>
      <c r="I9" s="215"/>
      <c r="J9" s="215"/>
      <c r="K9" s="215"/>
      <c r="L9" s="215"/>
      <c r="M9" s="215"/>
    </row>
    <row r="10" spans="2:13" x14ac:dyDescent="0.35">
      <c r="B10" s="215"/>
      <c r="C10" s="215"/>
      <c r="D10" s="215"/>
      <c r="E10" s="215"/>
      <c r="F10" s="215"/>
      <c r="G10" s="215"/>
      <c r="H10" s="215"/>
      <c r="I10" s="215"/>
      <c r="J10" s="215"/>
      <c r="K10" s="215"/>
      <c r="L10" s="215"/>
      <c r="M10" s="215"/>
    </row>
    <row r="11" spans="2:13" x14ac:dyDescent="0.35">
      <c r="B11" s="215"/>
      <c r="C11" s="215"/>
      <c r="D11" s="215"/>
      <c r="E11" s="215"/>
      <c r="F11" s="215"/>
      <c r="G11" s="215"/>
      <c r="H11" s="215"/>
      <c r="I11" s="215"/>
      <c r="J11" s="215"/>
      <c r="K11" s="215"/>
      <c r="L11" s="215"/>
      <c r="M11" s="215"/>
    </row>
    <row r="12" spans="2:13" x14ac:dyDescent="0.35">
      <c r="B12" s="215"/>
      <c r="C12" s="215"/>
      <c r="D12" s="215"/>
      <c r="E12" s="215"/>
      <c r="F12" s="215"/>
      <c r="G12" s="215"/>
      <c r="H12" s="215"/>
      <c r="I12" s="215"/>
      <c r="J12" s="215"/>
      <c r="K12" s="215"/>
      <c r="L12" s="215"/>
      <c r="M12" s="215"/>
    </row>
    <row r="13" spans="2:13" x14ac:dyDescent="0.35">
      <c r="B13" s="215"/>
      <c r="C13" s="215"/>
      <c r="D13" s="215"/>
      <c r="E13" s="215"/>
      <c r="F13" s="215"/>
      <c r="G13" s="215"/>
      <c r="H13" s="215"/>
      <c r="I13" s="215"/>
      <c r="J13" s="215"/>
      <c r="K13" s="215"/>
      <c r="L13" s="215"/>
      <c r="M13" s="215"/>
    </row>
  </sheetData>
  <mergeCells count="1">
    <mergeCell ref="B2: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L26"/>
  <sheetViews>
    <sheetView zoomScale="130" zoomScaleNormal="130" workbookViewId="0">
      <selection activeCell="H18" sqref="H18"/>
    </sheetView>
  </sheetViews>
  <sheetFormatPr defaultColWidth="9.109375" defaultRowHeight="13.2" x14ac:dyDescent="0.25"/>
  <cols>
    <col min="1" max="3" width="9.109375" style="1"/>
    <col min="4" max="5" width="11.88671875" style="1" bestFit="1" customWidth="1"/>
    <col min="6" max="6" width="9.109375" style="1"/>
    <col min="7" max="7" width="10.33203125" style="1" bestFit="1" customWidth="1"/>
    <col min="8" max="8" width="9.6640625" style="1" bestFit="1" customWidth="1"/>
    <col min="9" max="9" width="15.6640625" style="1" bestFit="1" customWidth="1"/>
    <col min="10" max="10" width="10.33203125" style="1" bestFit="1" customWidth="1"/>
    <col min="11" max="16384" width="9.109375" style="1"/>
  </cols>
  <sheetData>
    <row r="16" spans="2:12" ht="15.6" x14ac:dyDescent="0.3">
      <c r="B16" s="36" t="s">
        <v>65</v>
      </c>
      <c r="C16" s="36" t="s">
        <v>0</v>
      </c>
      <c r="D16" s="36" t="s">
        <v>1</v>
      </c>
      <c r="E16" s="36" t="s">
        <v>2</v>
      </c>
      <c r="F16" s="36" t="s">
        <v>3</v>
      </c>
      <c r="G16" s="45" t="s">
        <v>4</v>
      </c>
      <c r="H16" s="45" t="s">
        <v>11</v>
      </c>
      <c r="I16" s="36" t="s">
        <v>5</v>
      </c>
      <c r="J16" s="36" t="s">
        <v>6</v>
      </c>
      <c r="K16" s="36" t="s">
        <v>66</v>
      </c>
      <c r="L16" s="46"/>
    </row>
    <row r="17" spans="2:11" ht="15.6" x14ac:dyDescent="0.3">
      <c r="B17" s="38"/>
      <c r="C17" s="47">
        <v>0</v>
      </c>
      <c r="D17" s="47"/>
      <c r="E17" s="47"/>
      <c r="F17" s="38"/>
      <c r="G17" s="48"/>
      <c r="H17" s="48"/>
      <c r="I17" s="38"/>
      <c r="J17" s="38"/>
      <c r="K17" s="38"/>
    </row>
    <row r="18" spans="2:11" ht="15" x14ac:dyDescent="0.25">
      <c r="B18" s="38">
        <f>C18/360</f>
        <v>0.16666666666666666</v>
      </c>
      <c r="C18" s="47">
        <v>60</v>
      </c>
      <c r="D18" s="40">
        <v>99.96</v>
      </c>
      <c r="E18" s="40">
        <v>100</v>
      </c>
      <c r="F18" s="41">
        <f>D18/E18</f>
        <v>0.99959999999999993</v>
      </c>
      <c r="G18" s="50">
        <f>(1/F18)^(1/B18)-1</f>
        <v>2.4033635872289238E-3</v>
      </c>
      <c r="H18" s="152">
        <f>LN(1+G18)</f>
        <v>2.4004801280391522E-3</v>
      </c>
      <c r="I18" s="41">
        <f>F18</f>
        <v>0.99959999999999993</v>
      </c>
      <c r="J18" s="49">
        <f>(1/I18)^(1/(B18-C17))-1</f>
        <v>2.4033635872289238E-3</v>
      </c>
      <c r="K18" s="38">
        <f>LN(1+J18)</f>
        <v>2.4004801280391522E-3</v>
      </c>
    </row>
    <row r="19" spans="2:11" ht="15" x14ac:dyDescent="0.25">
      <c r="B19" s="38">
        <f>C19/360</f>
        <v>0.47222222222222221</v>
      </c>
      <c r="C19" s="47">
        <v>170</v>
      </c>
      <c r="D19" s="40">
        <v>192.75</v>
      </c>
      <c r="E19" s="40">
        <v>200</v>
      </c>
      <c r="F19" s="41">
        <f>D19/E19</f>
        <v>0.96375</v>
      </c>
      <c r="G19" s="50">
        <f>(1/F19)^(1/B19)-1</f>
        <v>8.1328775129815956E-2</v>
      </c>
      <c r="H19" s="51">
        <f>LN(1+G19)</f>
        <v>7.8190632221501341E-2</v>
      </c>
      <c r="I19" s="41">
        <f>F19/F18</f>
        <v>0.96413565426170478</v>
      </c>
      <c r="J19" s="49">
        <f>(1/I19)^(1/(B19-B18))-1</f>
        <v>0.12696785855800918</v>
      </c>
      <c r="K19" s="38">
        <f>LN(1+J19)</f>
        <v>0.11953071518157184</v>
      </c>
    </row>
    <row r="20" spans="2:11" ht="15" x14ac:dyDescent="0.25">
      <c r="B20" s="38">
        <f>C20/360</f>
        <v>1</v>
      </c>
      <c r="C20" s="52">
        <v>360</v>
      </c>
      <c r="D20" s="53">
        <v>280.5</v>
      </c>
      <c r="E20" s="53">
        <v>300</v>
      </c>
      <c r="F20" s="54">
        <f>D20/E20</f>
        <v>0.93500000000000005</v>
      </c>
      <c r="G20" s="55">
        <f>(1/F20)^(1/B20)-1</f>
        <v>6.9518716577539941E-2</v>
      </c>
      <c r="H20" s="56">
        <f>LN(1+G20)</f>
        <v>6.7208749693449893E-2</v>
      </c>
      <c r="I20" s="54">
        <f>F20/F19</f>
        <v>0.9701686121919586</v>
      </c>
      <c r="J20" s="58">
        <f>(1/I20)^(1/(B20-B19))-1</f>
        <v>5.9061199451605262E-2</v>
      </c>
      <c r="K20" s="57">
        <f>LN(1+J20)</f>
        <v>5.738285479993023E-2</v>
      </c>
    </row>
    <row r="21" spans="2:11" ht="15" x14ac:dyDescent="0.25">
      <c r="B21" s="59"/>
      <c r="C21" s="60"/>
      <c r="D21" s="60"/>
      <c r="E21" s="60"/>
      <c r="F21" s="60"/>
      <c r="G21" s="60"/>
      <c r="H21" s="60"/>
      <c r="I21" s="60"/>
      <c r="J21" s="60"/>
      <c r="K21" s="60"/>
    </row>
    <row r="22" spans="2:11" ht="15" x14ac:dyDescent="0.25">
      <c r="B22" s="59"/>
      <c r="C22" s="61" t="s">
        <v>67</v>
      </c>
      <c r="D22" s="61"/>
      <c r="E22" s="59"/>
      <c r="F22" s="59"/>
      <c r="G22" s="59"/>
      <c r="H22" s="59"/>
      <c r="I22" s="59"/>
      <c r="J22" s="59"/>
      <c r="K22" s="59"/>
    </row>
    <row r="23" spans="2:11" ht="15" x14ac:dyDescent="0.25">
      <c r="B23" s="59"/>
      <c r="C23" s="47">
        <v>20</v>
      </c>
      <c r="D23" s="38">
        <f>C23*F18</f>
        <v>19.991999999999997</v>
      </c>
      <c r="E23" s="59"/>
      <c r="F23" s="59"/>
      <c r="G23" s="59"/>
      <c r="H23" s="59"/>
      <c r="I23" s="59"/>
      <c r="J23" s="59"/>
      <c r="K23" s="59"/>
    </row>
    <row r="24" spans="2:11" ht="15" x14ac:dyDescent="0.25">
      <c r="B24" s="59"/>
      <c r="C24" s="47">
        <v>40</v>
      </c>
      <c r="D24" s="38">
        <f>C24*F19</f>
        <v>38.549999999999997</v>
      </c>
      <c r="E24" s="59"/>
      <c r="F24" s="59"/>
      <c r="G24" s="59"/>
      <c r="H24" s="59"/>
      <c r="I24" s="59"/>
      <c r="J24" s="59"/>
      <c r="K24" s="59"/>
    </row>
    <row r="25" spans="2:11" ht="15" x14ac:dyDescent="0.25">
      <c r="B25" s="59"/>
      <c r="C25" s="47">
        <v>60</v>
      </c>
      <c r="D25" s="38">
        <f>C25*F20</f>
        <v>56.1</v>
      </c>
      <c r="E25" s="59"/>
      <c r="F25" s="59"/>
      <c r="G25" s="59"/>
      <c r="H25" s="59"/>
      <c r="I25" s="59"/>
      <c r="J25" s="59"/>
      <c r="K25" s="59"/>
    </row>
    <row r="26" spans="2:11" x14ac:dyDescent="0.25">
      <c r="D26" s="62">
        <f>D23+D24+D25</f>
        <v>114.642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M26"/>
  <sheetViews>
    <sheetView workbookViewId="0">
      <selection activeCell="H19" sqref="H19"/>
    </sheetView>
  </sheetViews>
  <sheetFormatPr defaultColWidth="9.109375" defaultRowHeight="13.2" x14ac:dyDescent="0.25"/>
  <cols>
    <col min="1" max="2" width="9.109375" style="1"/>
    <col min="3" max="3" width="19.109375" style="1" bestFit="1" customWidth="1"/>
    <col min="4" max="5" width="9.109375" style="1"/>
    <col min="6" max="7" width="10.88671875" style="1" bestFit="1" customWidth="1"/>
    <col min="8" max="8" width="17.109375" style="1" bestFit="1" customWidth="1"/>
    <col min="9" max="9" width="16.109375" style="1" bestFit="1" customWidth="1"/>
    <col min="10" max="10" width="19" style="1" bestFit="1" customWidth="1"/>
    <col min="11" max="11" width="18" style="1" bestFit="1" customWidth="1"/>
    <col min="12" max="16384" width="9.109375" style="1"/>
  </cols>
  <sheetData>
    <row r="18" spans="3:13" ht="15.6" x14ac:dyDescent="0.3">
      <c r="C18" s="98" t="s">
        <v>68</v>
      </c>
      <c r="D18" s="98" t="s">
        <v>69</v>
      </c>
      <c r="E18" s="98" t="s">
        <v>7</v>
      </c>
      <c r="F18" s="98" t="s">
        <v>64</v>
      </c>
      <c r="G18" s="98" t="s">
        <v>70</v>
      </c>
      <c r="H18" s="100" t="s">
        <v>71</v>
      </c>
      <c r="I18" s="100" t="s">
        <v>72</v>
      </c>
      <c r="J18" s="100" t="s">
        <v>73</v>
      </c>
      <c r="K18" s="100" t="s">
        <v>74</v>
      </c>
      <c r="L18" s="63"/>
      <c r="M18" s="39" t="s">
        <v>75</v>
      </c>
    </row>
    <row r="19" spans="3:13" ht="15" x14ac:dyDescent="0.25">
      <c r="C19" s="92">
        <v>0.5</v>
      </c>
      <c r="D19" s="93">
        <v>98.77</v>
      </c>
      <c r="E19" s="94">
        <v>100</v>
      </c>
      <c r="F19" s="95">
        <v>3</v>
      </c>
      <c r="G19" s="96">
        <v>5</v>
      </c>
      <c r="H19" s="64">
        <f>D19/E19</f>
        <v>0.98769999999999991</v>
      </c>
      <c r="I19" s="65">
        <f>H19^(-1/C19)-1</f>
        <v>2.5061429625089282E-2</v>
      </c>
      <c r="J19" s="64">
        <f>H19</f>
        <v>0.98769999999999991</v>
      </c>
      <c r="K19" s="65">
        <f>I19</f>
        <v>2.5061429625089282E-2</v>
      </c>
      <c r="L19" s="59"/>
      <c r="M19" s="38">
        <v>0</v>
      </c>
    </row>
    <row r="20" spans="3:13" ht="15" x14ac:dyDescent="0.25">
      <c r="C20" s="92">
        <v>1</v>
      </c>
      <c r="D20" s="97">
        <v>100.08</v>
      </c>
      <c r="E20" s="93">
        <v>0</v>
      </c>
      <c r="F20" s="95">
        <v>0</v>
      </c>
      <c r="G20" s="96">
        <v>5</v>
      </c>
      <c r="H20" s="64">
        <f>(D21-G21*H21-G19*H19)/G20</f>
        <v>0.97176699029126146</v>
      </c>
      <c r="I20" s="65">
        <f>H20^(-1/C20)-1</f>
        <v>2.9053270990689217E-2</v>
      </c>
      <c r="J20" s="64">
        <f>H20/H19</f>
        <v>0.98386857374836645</v>
      </c>
      <c r="K20" s="65">
        <f>J20^(-1/(C20-C19))-1</f>
        <v>3.3060657568534602E-2</v>
      </c>
      <c r="L20" s="59"/>
      <c r="M20" s="38">
        <v>100</v>
      </c>
    </row>
    <row r="21" spans="3:13" ht="15" x14ac:dyDescent="0.25">
      <c r="C21" s="92">
        <v>1.5</v>
      </c>
      <c r="D21" s="93">
        <v>108.8</v>
      </c>
      <c r="E21" s="93">
        <v>0</v>
      </c>
      <c r="F21" s="95">
        <v>103</v>
      </c>
      <c r="G21" s="96">
        <v>105</v>
      </c>
      <c r="H21" s="64">
        <f>(D20-F19*H19)/F21</f>
        <v>0.94288252427184471</v>
      </c>
      <c r="I21" s="65">
        <f>H21^(-1/C21)-1</f>
        <v>3.9987874345357666E-2</v>
      </c>
      <c r="J21" s="64">
        <f>H21/H20</f>
        <v>0.97027634576189981</v>
      </c>
      <c r="K21" s="65">
        <f>J21^(-1/(C21-C20))-1</f>
        <v>6.2206885240444043E-2</v>
      </c>
      <c r="L21" s="59"/>
      <c r="M21" s="99">
        <v>0</v>
      </c>
    </row>
    <row r="22" spans="3:13" ht="15" x14ac:dyDescent="0.25">
      <c r="C22" s="59"/>
      <c r="D22" s="59"/>
      <c r="E22" s="59"/>
      <c r="F22" s="59"/>
      <c r="G22" s="59"/>
      <c r="H22" s="59"/>
      <c r="I22" s="59"/>
      <c r="J22" s="59"/>
      <c r="K22" s="59"/>
      <c r="L22" s="59"/>
      <c r="M22" s="59"/>
    </row>
    <row r="23" spans="3:13" ht="15" x14ac:dyDescent="0.25">
      <c r="C23" s="59"/>
      <c r="D23" s="59"/>
      <c r="E23" s="59"/>
      <c r="F23" s="59"/>
      <c r="G23" s="59"/>
      <c r="H23" s="59"/>
      <c r="I23" s="59"/>
      <c r="J23" s="59"/>
      <c r="K23" s="59"/>
      <c r="L23" s="59"/>
      <c r="M23" s="59"/>
    </row>
    <row r="24" spans="3:13" ht="15" x14ac:dyDescent="0.25">
      <c r="C24" s="101" t="s">
        <v>76</v>
      </c>
      <c r="D24" s="38">
        <f>(M19-D25*F19-D26*G19)/E19</f>
        <v>-0.38834951456310679</v>
      </c>
      <c r="E24" s="59"/>
      <c r="F24" s="59"/>
      <c r="G24" s="59"/>
      <c r="H24" s="59"/>
      <c r="I24" s="59"/>
      <c r="J24" s="59"/>
      <c r="K24" s="59"/>
      <c r="L24" s="59"/>
      <c r="M24" s="59"/>
    </row>
    <row r="25" spans="3:13" ht="15" x14ac:dyDescent="0.25">
      <c r="C25" s="101" t="s">
        <v>77</v>
      </c>
      <c r="D25" s="38">
        <f>(M21-D26*G21)/F21</f>
        <v>-20.388349514563107</v>
      </c>
      <c r="E25" s="59"/>
      <c r="F25" s="59"/>
      <c r="G25" s="59"/>
      <c r="H25" s="59"/>
      <c r="I25" s="59"/>
      <c r="J25" s="59"/>
      <c r="K25" s="59"/>
      <c r="L25" s="59"/>
      <c r="M25" s="59"/>
    </row>
    <row r="26" spans="3:13" ht="15" x14ac:dyDescent="0.25">
      <c r="C26" s="101" t="s">
        <v>78</v>
      </c>
      <c r="D26" s="38">
        <f>M20/G20</f>
        <v>20</v>
      </c>
      <c r="E26" s="59"/>
      <c r="F26" s="59"/>
      <c r="G26" s="59"/>
      <c r="H26" s="59"/>
      <c r="I26" s="59"/>
      <c r="J26" s="59"/>
      <c r="K26" s="59"/>
      <c r="L26" s="59"/>
      <c r="M26" s="5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K17"/>
  <sheetViews>
    <sheetView topLeftCell="B1" zoomScale="130" zoomScaleNormal="130" workbookViewId="0">
      <selection activeCell="L21" sqref="L21"/>
    </sheetView>
  </sheetViews>
  <sheetFormatPr defaultColWidth="9.109375" defaultRowHeight="13.2" x14ac:dyDescent="0.25"/>
  <cols>
    <col min="1" max="2" width="9.109375" style="1"/>
    <col min="3" max="4" width="9.33203125" style="1" bestFit="1" customWidth="1"/>
    <col min="5" max="7" width="14" style="1" bestFit="1" customWidth="1"/>
    <col min="8" max="11" width="12.33203125" style="1" bestFit="1" customWidth="1"/>
    <col min="12" max="16384" width="9.109375" style="1"/>
  </cols>
  <sheetData>
    <row r="11" spans="3:11" ht="17.399999999999999" x14ac:dyDescent="0.3">
      <c r="C11" s="2"/>
      <c r="D11" s="2"/>
      <c r="E11" s="2"/>
      <c r="F11" s="2"/>
      <c r="G11" s="2"/>
      <c r="H11" s="2"/>
      <c r="I11" s="2"/>
      <c r="J11" s="2"/>
    </row>
    <row r="12" spans="3:11" ht="17.399999999999999" x14ac:dyDescent="0.3">
      <c r="C12" s="2"/>
      <c r="D12" s="102" t="s">
        <v>0</v>
      </c>
      <c r="E12" s="102" t="s">
        <v>79</v>
      </c>
      <c r="F12" s="102" t="s">
        <v>1</v>
      </c>
      <c r="G12" s="102" t="s">
        <v>2</v>
      </c>
      <c r="H12" s="104" t="s">
        <v>3</v>
      </c>
      <c r="I12" s="104" t="s">
        <v>4</v>
      </c>
      <c r="J12" s="104" t="s">
        <v>5</v>
      </c>
      <c r="K12" s="104" t="s">
        <v>6</v>
      </c>
    </row>
    <row r="13" spans="3:11" ht="17.399999999999999" x14ac:dyDescent="0.3">
      <c r="C13" s="2"/>
      <c r="D13" s="79">
        <v>0</v>
      </c>
      <c r="E13" s="79"/>
      <c r="F13" s="3"/>
      <c r="G13" s="3"/>
      <c r="H13" s="3"/>
      <c r="I13" s="3"/>
      <c r="J13" s="3"/>
      <c r="K13" s="3"/>
    </row>
    <row r="14" spans="3:11" ht="17.399999999999999" x14ac:dyDescent="0.3">
      <c r="C14" s="4"/>
      <c r="D14" s="79">
        <v>90</v>
      </c>
      <c r="E14" s="202">
        <f>D14/360</f>
        <v>0.25</v>
      </c>
      <c r="F14" s="103">
        <v>99.77</v>
      </c>
      <c r="G14" s="103">
        <v>100</v>
      </c>
      <c r="H14" s="5">
        <f>F14/G14</f>
        <v>0.99769999999999992</v>
      </c>
      <c r="I14" s="6">
        <f>(1/H14)^(1/E14)-1</f>
        <v>9.2531443230607913E-3</v>
      </c>
      <c r="J14" s="7">
        <f>H14</f>
        <v>0.99769999999999992</v>
      </c>
      <c r="K14" s="6">
        <f>(1/J14)^(1/(E14-E13))-1</f>
        <v>9.2531443230607913E-3</v>
      </c>
    </row>
    <row r="15" spans="3:11" ht="17.399999999999999" x14ac:dyDescent="0.3">
      <c r="C15" s="4"/>
      <c r="D15" s="79">
        <v>180</v>
      </c>
      <c r="E15" s="202">
        <f t="shared" ref="E15:E16" si="0">D15/360</f>
        <v>0.5</v>
      </c>
      <c r="F15" s="103">
        <v>148.80000000000001</v>
      </c>
      <c r="G15" s="103">
        <v>150</v>
      </c>
      <c r="H15" s="5">
        <f t="shared" ref="H15:H16" si="1">F15/G15</f>
        <v>0.9920000000000001</v>
      </c>
      <c r="I15" s="6">
        <f t="shared" ref="I15:I16" si="2">(1/H15)^(1/E15)-1</f>
        <v>1.619406867845985E-2</v>
      </c>
      <c r="J15" s="7">
        <f>H15/H14</f>
        <v>0.99428685977748843</v>
      </c>
      <c r="K15" s="6">
        <f t="shared" ref="K15:K16" si="3">(1/J15)^(1/(E15-E14))-1</f>
        <v>2.3182727768378486E-2</v>
      </c>
    </row>
    <row r="16" spans="3:11" ht="17.399999999999999" x14ac:dyDescent="0.3">
      <c r="C16" s="4"/>
      <c r="D16" s="79">
        <v>351</v>
      </c>
      <c r="E16" s="202">
        <f t="shared" si="0"/>
        <v>0.97499999999999998</v>
      </c>
      <c r="F16" s="103">
        <v>176.3</v>
      </c>
      <c r="G16" s="103">
        <v>180</v>
      </c>
      <c r="H16" s="5">
        <f t="shared" si="1"/>
        <v>0.97944444444444456</v>
      </c>
      <c r="I16" s="6">
        <f t="shared" si="2"/>
        <v>2.1530833623268242E-2</v>
      </c>
      <c r="J16" s="7">
        <f>H16/H15</f>
        <v>0.98734318996415771</v>
      </c>
      <c r="K16" s="6">
        <f t="shared" si="3"/>
        <v>2.717876239715955E-2</v>
      </c>
    </row>
    <row r="17" spans="3:10" ht="17.399999999999999" x14ac:dyDescent="0.3">
      <c r="C17" s="2"/>
      <c r="D17" s="2"/>
      <c r="E17" s="2"/>
      <c r="F17" s="2"/>
      <c r="G17" s="2"/>
      <c r="H17" s="2"/>
      <c r="I17" s="2"/>
      <c r="J17" s="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O24"/>
  <sheetViews>
    <sheetView workbookViewId="0">
      <selection activeCell="X26" sqref="X26"/>
    </sheetView>
  </sheetViews>
  <sheetFormatPr defaultColWidth="9.109375" defaultRowHeight="13.2" x14ac:dyDescent="0.25"/>
  <cols>
    <col min="1" max="7" width="9.109375" style="1"/>
    <col min="8" max="8" width="11.6640625" style="1" bestFit="1" customWidth="1"/>
    <col min="9" max="9" width="9.109375" style="1"/>
    <col min="10" max="10" width="11.6640625" style="1" bestFit="1" customWidth="1"/>
    <col min="11" max="16384" width="9.109375" style="1"/>
  </cols>
  <sheetData>
    <row r="14" spans="3:10" ht="15" x14ac:dyDescent="0.25">
      <c r="C14" s="36" t="s">
        <v>0</v>
      </c>
      <c r="D14" s="105" t="s">
        <v>79</v>
      </c>
      <c r="E14" s="36" t="s">
        <v>1</v>
      </c>
      <c r="F14" s="36" t="s">
        <v>2</v>
      </c>
      <c r="G14" s="105" t="s">
        <v>3</v>
      </c>
      <c r="H14" s="105" t="s">
        <v>4</v>
      </c>
      <c r="I14" s="105" t="s">
        <v>5</v>
      </c>
      <c r="J14" s="105" t="s">
        <v>6</v>
      </c>
    </row>
    <row r="15" spans="3:10" ht="15" x14ac:dyDescent="0.25">
      <c r="C15" s="38">
        <v>0</v>
      </c>
      <c r="D15" s="38"/>
      <c r="E15" s="38"/>
      <c r="F15" s="38"/>
      <c r="G15" s="38"/>
      <c r="H15" s="38"/>
      <c r="I15" s="38"/>
      <c r="J15" s="38"/>
    </row>
    <row r="16" spans="3:10" ht="15" x14ac:dyDescent="0.25">
      <c r="C16" s="47">
        <v>30</v>
      </c>
      <c r="D16" s="66">
        <f>C16/360</f>
        <v>8.3333333333333329E-2</v>
      </c>
      <c r="E16" s="47">
        <v>99</v>
      </c>
      <c r="F16" s="47">
        <v>100</v>
      </c>
      <c r="G16" s="38">
        <f>E16/F16</f>
        <v>0.99</v>
      </c>
      <c r="H16" s="50">
        <f>(1/G16)^(1/D16)-1</f>
        <v>0.12817809950197101</v>
      </c>
      <c r="I16" s="41">
        <f>G16</f>
        <v>0.99</v>
      </c>
      <c r="J16" s="50">
        <f>H16</f>
        <v>0.12817809950197101</v>
      </c>
    </row>
    <row r="17" spans="2:15" ht="15" x14ac:dyDescent="0.25">
      <c r="C17" s="47">
        <v>180</v>
      </c>
      <c r="D17" s="66">
        <f>C17/360</f>
        <v>0.5</v>
      </c>
      <c r="E17" s="47">
        <v>190</v>
      </c>
      <c r="F17" s="47">
        <v>200</v>
      </c>
      <c r="G17" s="38">
        <f>E17/F17</f>
        <v>0.95</v>
      </c>
      <c r="H17" s="50">
        <f>(1/G17)^(1/D17)-1</f>
        <v>0.10803324099722977</v>
      </c>
      <c r="I17" s="41">
        <f>G17/G16</f>
        <v>0.95959595959595956</v>
      </c>
      <c r="J17" s="50">
        <f>(1/I17)^(1/(D17-D16))-1</f>
        <v>0.10404764152792434</v>
      </c>
    </row>
    <row r="18" spans="2:15" ht="15" x14ac:dyDescent="0.25">
      <c r="C18" s="47">
        <v>360</v>
      </c>
      <c r="D18" s="66">
        <f>C18/360</f>
        <v>1</v>
      </c>
      <c r="E18" s="47">
        <v>270</v>
      </c>
      <c r="F18" s="47">
        <v>300</v>
      </c>
      <c r="G18" s="67">
        <f>E18/F18</f>
        <v>0.9</v>
      </c>
      <c r="H18" s="50">
        <f>(1/G18)^(1/D18)-1</f>
        <v>0.11111111111111116</v>
      </c>
      <c r="I18" s="41">
        <f>G18/G17</f>
        <v>0.94736842105263164</v>
      </c>
      <c r="J18" s="50">
        <f>(1/I18)^(1/(D18-D17))-1</f>
        <v>0.11419753086419759</v>
      </c>
    </row>
    <row r="19" spans="2:15" ht="15" x14ac:dyDescent="0.25">
      <c r="C19" s="59"/>
      <c r="D19" s="59"/>
      <c r="E19" s="38">
        <f>E16+E17+E18</f>
        <v>559</v>
      </c>
      <c r="F19" s="59"/>
      <c r="G19" s="59"/>
      <c r="H19" s="59"/>
      <c r="I19" s="59"/>
      <c r="J19" s="59"/>
    </row>
    <row r="20" spans="2:15" ht="15" x14ac:dyDescent="0.25">
      <c r="C20" s="59"/>
      <c r="D20" s="59"/>
      <c r="E20" s="59"/>
      <c r="F20" s="59"/>
      <c r="G20" s="59"/>
      <c r="H20" s="59"/>
      <c r="I20" s="59"/>
      <c r="J20" s="59"/>
    </row>
    <row r="21" spans="2:15" x14ac:dyDescent="0.25">
      <c r="B21" s="203" t="s">
        <v>95</v>
      </c>
      <c r="C21" s="203"/>
      <c r="D21" s="203"/>
      <c r="E21" s="203"/>
      <c r="F21" s="203"/>
      <c r="G21" s="203"/>
      <c r="H21" s="203"/>
      <c r="I21" s="203"/>
      <c r="J21" s="203"/>
      <c r="K21" s="203"/>
      <c r="L21" s="203"/>
      <c r="M21" s="203"/>
      <c r="N21" s="203"/>
      <c r="O21" s="203"/>
    </row>
    <row r="22" spans="2:15" x14ac:dyDescent="0.25">
      <c r="B22" s="203"/>
      <c r="C22" s="203"/>
      <c r="D22" s="203"/>
      <c r="E22" s="203"/>
      <c r="F22" s="203"/>
      <c r="G22" s="203"/>
      <c r="H22" s="203"/>
      <c r="I22" s="203"/>
      <c r="J22" s="203"/>
      <c r="K22" s="203"/>
      <c r="L22" s="203"/>
      <c r="M22" s="203"/>
      <c r="N22" s="203"/>
      <c r="O22" s="203"/>
    </row>
    <row r="23" spans="2:15" x14ac:dyDescent="0.25">
      <c r="B23" s="203"/>
      <c r="C23" s="203"/>
      <c r="D23" s="203"/>
      <c r="E23" s="203"/>
      <c r="F23" s="203"/>
      <c r="G23" s="203"/>
      <c r="H23" s="203"/>
      <c r="I23" s="203"/>
      <c r="J23" s="203"/>
      <c r="K23" s="203"/>
      <c r="L23" s="203"/>
      <c r="M23" s="203"/>
      <c r="N23" s="203"/>
      <c r="O23" s="203"/>
    </row>
    <row r="24" spans="2:15" x14ac:dyDescent="0.25">
      <c r="B24" s="203"/>
      <c r="C24" s="203"/>
      <c r="D24" s="203"/>
      <c r="E24" s="203"/>
      <c r="F24" s="203"/>
      <c r="G24" s="203"/>
      <c r="H24" s="203"/>
      <c r="I24" s="203"/>
      <c r="J24" s="203"/>
      <c r="K24" s="203"/>
      <c r="L24" s="203"/>
      <c r="M24" s="203"/>
      <c r="N24" s="203"/>
      <c r="O24" s="203"/>
    </row>
  </sheetData>
  <mergeCells count="1">
    <mergeCell ref="B21:O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2:J44"/>
  <sheetViews>
    <sheetView showGridLines="0" workbookViewId="0">
      <selection activeCell="O51" sqref="O51"/>
    </sheetView>
  </sheetViews>
  <sheetFormatPr defaultColWidth="8.88671875" defaultRowHeight="17.399999999999999" x14ac:dyDescent="0.3"/>
  <cols>
    <col min="1" max="1" width="9" style="2" customWidth="1"/>
    <col min="2" max="3" width="11.109375" style="2" bestFit="1" customWidth="1"/>
    <col min="4" max="5" width="10.88671875" style="2" bestFit="1" customWidth="1"/>
    <col min="6" max="6" width="11.6640625" style="2" bestFit="1" customWidth="1"/>
    <col min="7" max="7" width="16.33203125" style="2" customWidth="1"/>
    <col min="8" max="8" width="19.6640625" style="2" customWidth="1"/>
    <col min="9" max="9" width="37.109375" style="2" bestFit="1" customWidth="1"/>
    <col min="10" max="16384" width="8.88671875" style="2"/>
  </cols>
  <sheetData>
    <row r="22" spans="3:10" ht="18" x14ac:dyDescent="0.35">
      <c r="C22" s="204" t="s">
        <v>12</v>
      </c>
      <c r="D22" s="204"/>
      <c r="E22" s="8"/>
      <c r="F22" s="8"/>
      <c r="G22" s="108"/>
      <c r="H22" s="109" t="s">
        <v>13</v>
      </c>
    </row>
    <row r="23" spans="3:10" ht="18" x14ac:dyDescent="0.35">
      <c r="C23" s="107" t="s">
        <v>14</v>
      </c>
      <c r="D23" s="106">
        <v>98.35</v>
      </c>
      <c r="E23" s="8"/>
      <c r="F23" s="8"/>
      <c r="G23" s="113" t="s">
        <v>15</v>
      </c>
      <c r="H23" s="70">
        <f>D23/D26</f>
        <v>0.98349999999999993</v>
      </c>
      <c r="I23" s="9"/>
      <c r="J23" s="9"/>
    </row>
    <row r="24" spans="3:10" ht="18" x14ac:dyDescent="0.35">
      <c r="C24" s="107" t="s">
        <v>16</v>
      </c>
      <c r="D24" s="106">
        <v>192.5</v>
      </c>
      <c r="E24" s="8"/>
      <c r="F24" s="8"/>
      <c r="G24" s="113" t="s">
        <v>17</v>
      </c>
      <c r="H24" s="70">
        <f>D24/D27</f>
        <v>0.96250000000000002</v>
      </c>
    </row>
    <row r="25" spans="3:10" ht="18" x14ac:dyDescent="0.35">
      <c r="C25" s="107" t="s">
        <v>18</v>
      </c>
      <c r="D25" s="106">
        <v>282.5</v>
      </c>
      <c r="E25" s="8"/>
      <c r="F25" s="8"/>
      <c r="G25" s="113" t="s">
        <v>19</v>
      </c>
      <c r="H25" s="70">
        <f>D25/D28</f>
        <v>0.94166666666666665</v>
      </c>
    </row>
    <row r="26" spans="3:10" ht="18" x14ac:dyDescent="0.35">
      <c r="C26" s="107" t="s">
        <v>20</v>
      </c>
      <c r="D26" s="106">
        <v>100</v>
      </c>
      <c r="E26" s="8"/>
      <c r="F26" s="8"/>
      <c r="G26" s="8"/>
      <c r="H26" s="8"/>
      <c r="I26" s="8"/>
    </row>
    <row r="27" spans="3:10" ht="18" x14ac:dyDescent="0.35">
      <c r="C27" s="107" t="s">
        <v>21</v>
      </c>
      <c r="D27" s="106">
        <v>200</v>
      </c>
      <c r="E27" s="8"/>
      <c r="F27" s="8"/>
      <c r="G27" s="8"/>
      <c r="H27" s="8"/>
      <c r="I27" s="8"/>
    </row>
    <row r="28" spans="3:10" ht="18" x14ac:dyDescent="0.35">
      <c r="C28" s="107" t="s">
        <v>22</v>
      </c>
      <c r="D28" s="106">
        <v>300</v>
      </c>
      <c r="E28" s="8"/>
      <c r="F28" s="8"/>
      <c r="G28" s="110"/>
      <c r="H28" s="117" t="s">
        <v>23</v>
      </c>
      <c r="I28" s="111" t="s">
        <v>24</v>
      </c>
    </row>
    <row r="29" spans="3:10" ht="18" x14ac:dyDescent="0.35">
      <c r="C29" s="107" t="s">
        <v>25</v>
      </c>
      <c r="D29" s="106">
        <v>0.5</v>
      </c>
      <c r="E29" s="8"/>
      <c r="F29" s="8"/>
      <c r="G29" s="113" t="s">
        <v>26</v>
      </c>
      <c r="H29" s="112">
        <v>0.5</v>
      </c>
      <c r="I29" s="68">
        <f>((H23)^-(1/H29))-1</f>
        <v>3.3835096582167212E-2</v>
      </c>
      <c r="J29" s="9"/>
    </row>
    <row r="30" spans="3:10" ht="18" x14ac:dyDescent="0.35">
      <c r="C30" s="107" t="s">
        <v>27</v>
      </c>
      <c r="D30" s="106">
        <v>1</v>
      </c>
      <c r="E30" s="8"/>
      <c r="F30" s="8"/>
      <c r="G30" s="113" t="s">
        <v>28</v>
      </c>
      <c r="H30" s="112">
        <v>1</v>
      </c>
      <c r="I30" s="68">
        <f>((H24)^-(1/H30))-1</f>
        <v>3.8961038961038863E-2</v>
      </c>
    </row>
    <row r="31" spans="3:10" ht="18" x14ac:dyDescent="0.35">
      <c r="C31" s="107" t="s">
        <v>29</v>
      </c>
      <c r="D31" s="106">
        <v>1.5</v>
      </c>
      <c r="E31" s="8"/>
      <c r="F31" s="8"/>
      <c r="G31" s="113" t="s">
        <v>30</v>
      </c>
      <c r="H31" s="112">
        <v>1.5</v>
      </c>
      <c r="I31" s="68">
        <f>((H25)^-(1/H31))-1</f>
        <v>4.0882886884739067E-2</v>
      </c>
    </row>
    <row r="33" spans="3:9" ht="18" x14ac:dyDescent="0.35">
      <c r="C33" s="8"/>
      <c r="D33" s="8"/>
      <c r="E33" s="8"/>
      <c r="F33" s="8"/>
      <c r="G33" s="108"/>
      <c r="H33" s="111" t="s">
        <v>31</v>
      </c>
      <c r="I33" s="111"/>
    </row>
    <row r="34" spans="3:9" ht="18" x14ac:dyDescent="0.35">
      <c r="C34" s="8"/>
      <c r="D34" s="8"/>
      <c r="E34" s="8"/>
      <c r="F34" s="8"/>
      <c r="G34" s="113" t="s">
        <v>32</v>
      </c>
      <c r="H34" s="69">
        <f>I29</f>
        <v>3.3835096582167212E-2</v>
      </c>
      <c r="I34" s="8"/>
    </row>
    <row r="35" spans="3:9" ht="18" x14ac:dyDescent="0.35">
      <c r="C35" s="8"/>
      <c r="D35" s="8"/>
      <c r="E35" s="8"/>
      <c r="F35" s="8"/>
      <c r="G35" s="113" t="s">
        <v>33</v>
      </c>
      <c r="H35" s="69">
        <f>+(1+I30)*((1+I30)/(1+I29))^((H29-0)/(H30-H29))-1</f>
        <v>4.4112396694214517E-2</v>
      </c>
      <c r="I35" s="8"/>
    </row>
    <row r="36" spans="3:9" ht="18" x14ac:dyDescent="0.35">
      <c r="C36" s="8"/>
      <c r="D36" s="8"/>
      <c r="E36" s="8"/>
      <c r="F36" s="8"/>
      <c r="G36" s="113" t="s">
        <v>34</v>
      </c>
      <c r="H36" s="69">
        <f>+(1+I31)*((1+I31)/(1+I30))^((H30-0)/(H31-H30))-1</f>
        <v>4.4737254287728234E-2</v>
      </c>
      <c r="I36" s="8"/>
    </row>
    <row r="40" spans="3:9" x14ac:dyDescent="0.3">
      <c r="C40" s="80" t="s">
        <v>0</v>
      </c>
      <c r="D40" s="80" t="s">
        <v>2</v>
      </c>
      <c r="E40" s="80" t="s">
        <v>1</v>
      </c>
      <c r="F40" s="114" t="s">
        <v>3</v>
      </c>
      <c r="G40" s="114" t="s">
        <v>4</v>
      </c>
      <c r="H40" s="114" t="s">
        <v>5</v>
      </c>
      <c r="I40" s="114" t="s">
        <v>6</v>
      </c>
    </row>
    <row r="41" spans="3:9" x14ac:dyDescent="0.3">
      <c r="C41" s="78">
        <v>0</v>
      </c>
      <c r="D41" s="90"/>
      <c r="E41" s="90"/>
      <c r="F41" s="90"/>
      <c r="G41" s="90"/>
      <c r="H41" s="90"/>
      <c r="I41" s="3"/>
    </row>
    <row r="42" spans="3:9" x14ac:dyDescent="0.3">
      <c r="C42" s="78">
        <v>0.5</v>
      </c>
      <c r="D42" s="78">
        <v>100</v>
      </c>
      <c r="E42" s="78">
        <v>98.35</v>
      </c>
      <c r="F42" s="91">
        <f>E42/D42</f>
        <v>0.98349999999999993</v>
      </c>
      <c r="G42" s="115">
        <f>(1/F42)^(1/C42)-1</f>
        <v>3.3835096582167434E-2</v>
      </c>
      <c r="H42" s="91">
        <f>F42</f>
        <v>0.98349999999999993</v>
      </c>
      <c r="I42" s="116">
        <f>G42</f>
        <v>3.3835096582167434E-2</v>
      </c>
    </row>
    <row r="43" spans="3:9" x14ac:dyDescent="0.3">
      <c r="C43" s="78">
        <v>1</v>
      </c>
      <c r="D43" s="78">
        <v>200</v>
      </c>
      <c r="E43" s="78">
        <v>192.5</v>
      </c>
      <c r="F43" s="91">
        <f t="shared" ref="F43:F44" si="0">E43/D43</f>
        <v>0.96250000000000002</v>
      </c>
      <c r="G43" s="115">
        <f>(1/F43)^(1/C43)-1</f>
        <v>3.8961038961038863E-2</v>
      </c>
      <c r="H43" s="91">
        <f>F43/F42</f>
        <v>0.97864768683274028</v>
      </c>
      <c r="I43" s="116">
        <f>(1/H43)^(1/(C43-C42))-1</f>
        <v>4.4112396694214739E-2</v>
      </c>
    </row>
    <row r="44" spans="3:9" x14ac:dyDescent="0.3">
      <c r="C44" s="78">
        <v>1.5</v>
      </c>
      <c r="D44" s="78">
        <v>300</v>
      </c>
      <c r="E44" s="78">
        <v>282.5</v>
      </c>
      <c r="F44" s="91">
        <f t="shared" si="0"/>
        <v>0.94166666666666665</v>
      </c>
      <c r="G44" s="115">
        <f>(1/F44)^(1/C44)-1</f>
        <v>4.0882886884739067E-2</v>
      </c>
      <c r="H44" s="91">
        <f>F44/F43</f>
        <v>0.97835497835497831</v>
      </c>
      <c r="I44" s="116">
        <f>(1/H44)^(1/(C44-C43))-1</f>
        <v>4.4737254287728456E-2</v>
      </c>
    </row>
  </sheetData>
  <mergeCells count="1">
    <mergeCell ref="C22:D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zoomScale="140" zoomScaleNormal="140" workbookViewId="0">
      <selection activeCell="M23" sqref="M23"/>
    </sheetView>
  </sheetViews>
  <sheetFormatPr defaultColWidth="11.33203125" defaultRowHeight="10.199999999999999" x14ac:dyDescent="0.2"/>
  <cols>
    <col min="1" max="2" width="11.33203125" style="11" customWidth="1"/>
    <col min="3" max="4" width="9.33203125" style="11" bestFit="1" customWidth="1"/>
    <col min="5" max="6" width="11.33203125" style="11" customWidth="1"/>
    <col min="7" max="7" width="9.33203125" style="11" bestFit="1" customWidth="1"/>
    <col min="8" max="8" width="7.33203125" style="11" bestFit="1" customWidth="1"/>
    <col min="9" max="12" width="9.33203125" style="11" bestFit="1" customWidth="1"/>
    <col min="13" max="16384" width="11.33203125" style="11"/>
  </cols>
  <sheetData>
    <row r="1" spans="1:24" ht="13.8" x14ac:dyDescent="0.25">
      <c r="A1" s="10"/>
    </row>
    <row r="6" spans="1:24" x14ac:dyDescent="0.2">
      <c r="Q6" s="12"/>
      <c r="R6" s="13"/>
      <c r="S6" s="14"/>
      <c r="T6" s="15"/>
    </row>
    <row r="7" spans="1:24" x14ac:dyDescent="0.2">
      <c r="P7" s="12"/>
      <c r="Q7" s="12"/>
      <c r="R7" s="13"/>
      <c r="S7" s="13"/>
      <c r="T7" s="16"/>
      <c r="U7" s="16"/>
      <c r="V7" s="16"/>
      <c r="W7" s="16"/>
      <c r="X7" s="16"/>
    </row>
    <row r="8" spans="1:24" x14ac:dyDescent="0.2">
      <c r="P8" s="12"/>
      <c r="Q8" s="16"/>
      <c r="R8" s="16"/>
      <c r="S8" s="16"/>
      <c r="T8" s="16"/>
      <c r="U8" s="16"/>
      <c r="V8" s="16"/>
      <c r="W8" s="16"/>
    </row>
    <row r="9" spans="1:24" x14ac:dyDescent="0.2">
      <c r="P9" s="12"/>
      <c r="Q9" s="16"/>
      <c r="R9" s="16"/>
      <c r="S9" s="16"/>
      <c r="T9" s="16"/>
      <c r="U9" s="16"/>
      <c r="V9" s="16"/>
      <c r="W9" s="16"/>
    </row>
    <row r="10" spans="1:24" x14ac:dyDescent="0.2">
      <c r="P10" s="12"/>
      <c r="Q10" s="16"/>
      <c r="R10" s="16"/>
      <c r="S10" s="16"/>
      <c r="T10" s="16"/>
      <c r="U10" s="16"/>
      <c r="V10" s="16"/>
      <c r="W10" s="16"/>
    </row>
    <row r="11" spans="1:24" x14ac:dyDescent="0.2">
      <c r="P11" s="12"/>
      <c r="Q11" s="16"/>
      <c r="R11" s="15"/>
      <c r="S11" s="16"/>
      <c r="T11" s="16"/>
      <c r="U11" s="16"/>
      <c r="V11" s="16"/>
      <c r="W11" s="16"/>
    </row>
    <row r="12" spans="1:24" x14ac:dyDescent="0.2">
      <c r="P12" s="12"/>
      <c r="Q12" s="16"/>
      <c r="R12" s="16"/>
      <c r="S12" s="16"/>
      <c r="T12" s="16"/>
      <c r="U12" s="16"/>
      <c r="V12" s="16"/>
      <c r="W12" s="16"/>
    </row>
    <row r="13" spans="1:24" x14ac:dyDescent="0.2">
      <c r="P13" s="12"/>
      <c r="Q13" s="13"/>
      <c r="R13" s="17"/>
      <c r="S13" s="16"/>
      <c r="T13" s="16"/>
      <c r="U13" s="16"/>
      <c r="V13" s="16"/>
      <c r="W13" s="16"/>
    </row>
    <row r="14" spans="1:24" x14ac:dyDescent="0.2">
      <c r="P14" s="12"/>
      <c r="Q14" s="16"/>
      <c r="R14" s="16"/>
      <c r="S14" s="16"/>
      <c r="T14" s="16"/>
      <c r="U14" s="16"/>
      <c r="V14" s="16"/>
      <c r="W14" s="16"/>
    </row>
    <row r="15" spans="1:24" x14ac:dyDescent="0.2">
      <c r="P15" s="12"/>
      <c r="Q15" s="16"/>
      <c r="R15" s="16"/>
      <c r="S15" s="16"/>
      <c r="T15" s="16"/>
      <c r="U15" s="16"/>
      <c r="V15" s="16"/>
      <c r="W15" s="16"/>
    </row>
    <row r="16" spans="1:24" x14ac:dyDescent="0.2">
      <c r="P16" s="12"/>
      <c r="Q16" s="16"/>
      <c r="R16" s="16"/>
      <c r="S16" s="16"/>
      <c r="T16" s="16"/>
      <c r="U16" s="16"/>
      <c r="V16" s="16"/>
      <c r="W16" s="16"/>
    </row>
    <row r="17" spans="2:23" x14ac:dyDescent="0.2">
      <c r="P17" s="12"/>
      <c r="Q17" s="16"/>
      <c r="R17" s="16"/>
      <c r="S17" s="16"/>
      <c r="T17" s="16"/>
      <c r="U17" s="16"/>
      <c r="V17" s="16"/>
      <c r="W17" s="16"/>
    </row>
    <row r="18" spans="2:23" x14ac:dyDescent="0.2">
      <c r="P18" s="12"/>
      <c r="Q18" s="16"/>
      <c r="R18" s="16"/>
      <c r="S18" s="16"/>
      <c r="T18" s="16"/>
      <c r="U18" s="16"/>
      <c r="V18" s="16"/>
      <c r="W18" s="16"/>
    </row>
    <row r="19" spans="2:23" x14ac:dyDescent="0.2">
      <c r="P19" s="12"/>
      <c r="Q19" s="16"/>
      <c r="R19" s="16"/>
      <c r="S19" s="16"/>
      <c r="T19" s="16"/>
      <c r="U19" s="16"/>
      <c r="V19" s="16"/>
      <c r="W19" s="16"/>
    </row>
    <row r="20" spans="2:23" x14ac:dyDescent="0.2">
      <c r="P20" s="12"/>
      <c r="Q20" s="16"/>
      <c r="R20" s="16"/>
      <c r="S20" s="16"/>
      <c r="T20" s="16"/>
      <c r="U20" s="16"/>
      <c r="V20" s="16"/>
      <c r="W20" s="16"/>
    </row>
    <row r="21" spans="2:23" x14ac:dyDescent="0.2">
      <c r="P21" s="12"/>
      <c r="Q21" s="16"/>
      <c r="R21" s="16"/>
      <c r="S21" s="16"/>
      <c r="T21" s="16"/>
      <c r="U21" s="16"/>
      <c r="V21" s="16"/>
      <c r="W21" s="16"/>
    </row>
    <row r="22" spans="2:23" x14ac:dyDescent="0.2">
      <c r="P22" s="12"/>
      <c r="Q22" s="16"/>
      <c r="R22" s="16"/>
      <c r="S22" s="16"/>
      <c r="T22" s="16"/>
      <c r="U22" s="16"/>
      <c r="V22" s="16"/>
      <c r="W22" s="16"/>
    </row>
    <row r="23" spans="2:23" x14ac:dyDescent="0.2">
      <c r="P23" s="12"/>
      <c r="Q23" s="16"/>
      <c r="R23" s="16"/>
      <c r="S23" s="16"/>
      <c r="T23" s="16"/>
      <c r="U23" s="16"/>
      <c r="V23" s="16"/>
      <c r="W23" s="16"/>
    </row>
    <row r="24" spans="2:23" x14ac:dyDescent="0.2">
      <c r="P24" s="12"/>
      <c r="Q24" s="16"/>
      <c r="R24" s="16"/>
      <c r="S24" s="16"/>
      <c r="T24" s="16"/>
      <c r="U24" s="16"/>
      <c r="V24" s="16"/>
      <c r="W24" s="16"/>
    </row>
    <row r="25" spans="2:23" ht="13.8" x14ac:dyDescent="0.25">
      <c r="B25" s="18" t="s">
        <v>35</v>
      </c>
      <c r="D25" s="18"/>
      <c r="E25" s="18"/>
      <c r="F25" s="18"/>
      <c r="J25" s="19"/>
      <c r="K25" s="19"/>
      <c r="Q25" s="16"/>
      <c r="R25" s="16"/>
      <c r="S25" s="16"/>
      <c r="T25" s="16"/>
      <c r="U25" s="16"/>
      <c r="V25" s="16"/>
      <c r="W25" s="16"/>
    </row>
    <row r="26" spans="2:23" x14ac:dyDescent="0.2">
      <c r="J26" s="19"/>
      <c r="K26" s="19"/>
      <c r="Q26" s="16"/>
      <c r="R26" s="16"/>
      <c r="S26" s="16"/>
      <c r="T26" s="16"/>
      <c r="U26" s="16"/>
      <c r="V26" s="16"/>
      <c r="W26" s="16"/>
    </row>
    <row r="27" spans="2:23" x14ac:dyDescent="0.2">
      <c r="C27" s="20" t="s">
        <v>36</v>
      </c>
      <c r="D27" s="128" t="s">
        <v>37</v>
      </c>
      <c r="E27" s="129" t="s">
        <v>38</v>
      </c>
      <c r="G27" s="20" t="s">
        <v>39</v>
      </c>
      <c r="H27" s="128" t="s">
        <v>37</v>
      </c>
      <c r="I27" s="118" t="s">
        <v>40</v>
      </c>
      <c r="J27" s="118" t="s">
        <v>41</v>
      </c>
      <c r="K27" s="118" t="s">
        <v>42</v>
      </c>
      <c r="L27" s="118" t="s">
        <v>43</v>
      </c>
      <c r="M27" s="118" t="s">
        <v>44</v>
      </c>
      <c r="N27" s="118" t="s">
        <v>45</v>
      </c>
      <c r="O27" s="119" t="s">
        <v>46</v>
      </c>
      <c r="Q27" s="16"/>
      <c r="R27" s="16"/>
      <c r="S27" s="16"/>
      <c r="T27" s="16"/>
      <c r="U27" s="16"/>
      <c r="V27" s="16"/>
      <c r="W27" s="16"/>
    </row>
    <row r="28" spans="2:23" x14ac:dyDescent="0.2">
      <c r="D28" s="128" t="s">
        <v>47</v>
      </c>
      <c r="E28" s="130" t="s">
        <v>48</v>
      </c>
      <c r="H28" s="131" t="s">
        <v>47</v>
      </c>
      <c r="I28" s="120"/>
      <c r="J28" s="120"/>
      <c r="K28" s="120"/>
      <c r="L28" s="120" t="s">
        <v>49</v>
      </c>
      <c r="M28" s="120" t="s">
        <v>50</v>
      </c>
      <c r="N28" s="120" t="s">
        <v>51</v>
      </c>
      <c r="O28" s="121" t="s">
        <v>52</v>
      </c>
      <c r="Q28" s="16"/>
      <c r="R28" s="16"/>
      <c r="S28" s="16"/>
      <c r="T28" s="16"/>
      <c r="U28" s="16"/>
      <c r="V28" s="16"/>
      <c r="W28" s="16"/>
    </row>
    <row r="29" spans="2:23" x14ac:dyDescent="0.2">
      <c r="D29" s="122">
        <v>1</v>
      </c>
      <c r="E29" s="125">
        <v>5.2699999999999997E-2</v>
      </c>
      <c r="H29" s="21">
        <f t="shared" ref="H29:H58" si="0">D29</f>
        <v>1</v>
      </c>
      <c r="I29" s="22">
        <f>(1+E29)^(-D29)</f>
        <v>0.94993825401348919</v>
      </c>
      <c r="J29" s="25">
        <f>I29</f>
        <v>0.94993825401348919</v>
      </c>
      <c r="K29" s="23">
        <f>(1/J29)^(1/(H29-0))-1</f>
        <v>5.2699999999999969E-2</v>
      </c>
      <c r="L29" s="23">
        <f t="shared" ref="L29:L58" si="1">(1+E29)^(1/2)-1</f>
        <v>2.6011695839769589E-2</v>
      </c>
      <c r="M29" s="23">
        <f>(1+E29)^(1/4)-1</f>
        <v>1.2922354299563121E-2</v>
      </c>
      <c r="N29" s="23">
        <f t="shared" ref="N29:N58" si="2">(1+E29)^(1/12)-1</f>
        <v>4.2890293603305985E-3</v>
      </c>
      <c r="O29" s="24">
        <f>(1+E29)^H29-1</f>
        <v>5.2699999999999969E-2</v>
      </c>
      <c r="P29" s="12"/>
      <c r="Q29" s="16"/>
      <c r="R29" s="16"/>
      <c r="S29" s="16"/>
      <c r="T29" s="16"/>
      <c r="U29" s="16"/>
      <c r="V29" s="16"/>
      <c r="W29" s="16"/>
    </row>
    <row r="30" spans="2:23" x14ac:dyDescent="0.2">
      <c r="D30" s="123">
        <f t="shared" ref="D30:D58" si="3">D29+1</f>
        <v>2</v>
      </c>
      <c r="E30" s="126">
        <v>5.3829622168506001E-2</v>
      </c>
      <c r="H30" s="21">
        <f t="shared" si="0"/>
        <v>2</v>
      </c>
      <c r="I30" s="22">
        <f t="shared" ref="I30:I58" si="4">(1+E30)^(-D30)</f>
        <v>0.90044915727279751</v>
      </c>
      <c r="J30" s="25">
        <f>I30/I29</f>
        <v>0.94790282786107383</v>
      </c>
      <c r="K30" s="23">
        <f>(1/J30)^(1/(H30-H29))-1</f>
        <v>5.4960456502152866E-2</v>
      </c>
      <c r="L30" s="23">
        <f t="shared" si="1"/>
        <v>2.6562040097190653E-2</v>
      </c>
      <c r="M30" s="23">
        <f t="shared" ref="M30:M58" si="5">(1+E30)^(1/4)-1</f>
        <v>1.3193979501058051E-2</v>
      </c>
      <c r="N30" s="23">
        <f t="shared" si="2"/>
        <v>4.3787913671389234E-3</v>
      </c>
      <c r="O30" s="24">
        <f>(1+E30)^H30-1</f>
        <v>0.11055687255981606</v>
      </c>
      <c r="P30" s="12"/>
      <c r="Q30" s="16"/>
      <c r="R30" s="16"/>
      <c r="S30" s="16"/>
      <c r="T30" s="16"/>
      <c r="U30" s="16"/>
      <c r="V30" s="16"/>
      <c r="W30" s="16"/>
    </row>
    <row r="31" spans="2:23" x14ac:dyDescent="0.2">
      <c r="D31" s="123">
        <f t="shared" si="3"/>
        <v>3</v>
      </c>
      <c r="E31" s="126">
        <v>5.4876053928266E-2</v>
      </c>
      <c r="H31" s="21">
        <f t="shared" si="0"/>
        <v>3</v>
      </c>
      <c r="I31" s="22">
        <f t="shared" si="4"/>
        <v>0.85191388875759522</v>
      </c>
      <c r="J31" s="25">
        <f>I31/I30</f>
        <v>0.94609882398890599</v>
      </c>
      <c r="K31" s="23">
        <f t="shared" ref="K31:K57" si="6">(1/J31)^(1/(H31-H30))-1</f>
        <v>5.6972035737067994E-2</v>
      </c>
      <c r="L31" s="23">
        <f t="shared" si="1"/>
        <v>2.7071591432781261E-2</v>
      </c>
      <c r="M31" s="23">
        <f t="shared" si="5"/>
        <v>1.344540624188606E-2</v>
      </c>
      <c r="N31" s="23">
        <f t="shared" si="2"/>
        <v>4.4618642388656315E-3</v>
      </c>
      <c r="O31" s="24">
        <f>(1+E31)^H31-1</f>
        <v>0.17382755839134045</v>
      </c>
      <c r="P31" s="12"/>
      <c r="Q31" s="16"/>
      <c r="R31" s="16"/>
      <c r="S31" s="16"/>
      <c r="T31" s="16"/>
      <c r="U31" s="16"/>
      <c r="V31" s="16"/>
      <c r="W31" s="16"/>
    </row>
    <row r="32" spans="2:23" x14ac:dyDescent="0.2">
      <c r="D32" s="123">
        <f t="shared" si="3"/>
        <v>4</v>
      </c>
      <c r="E32" s="126">
        <v>5.5836347107348194E-2</v>
      </c>
      <c r="H32" s="21">
        <f t="shared" si="0"/>
        <v>4</v>
      </c>
      <c r="I32" s="22">
        <f t="shared" si="4"/>
        <v>0.80466213658004682</v>
      </c>
      <c r="J32" s="25">
        <f t="shared" ref="J32:J58" si="7">I32/I31</f>
        <v>0.94453459111171567</v>
      </c>
      <c r="K32" s="23">
        <f>(1/J32)^(1/(H32-H31))-1</f>
        <v>5.8722474973628591E-2</v>
      </c>
      <c r="L32" s="23">
        <f>(1+E32)^(1/2)-1</f>
        <v>2.7538975955339717E-2</v>
      </c>
      <c r="M32" s="23">
        <f t="shared" si="5"/>
        <v>1.367597187431624E-2</v>
      </c>
      <c r="N32" s="23">
        <f t="shared" si="2"/>
        <v>4.538032401676606E-3</v>
      </c>
      <c r="O32" s="24">
        <f t="shared" ref="O32:O53" si="8">(1+E32)^H32-1</f>
        <v>0.24275761781233163</v>
      </c>
      <c r="P32" s="12"/>
      <c r="Q32" s="16"/>
      <c r="R32" s="16"/>
      <c r="S32" s="16"/>
      <c r="T32" s="16"/>
      <c r="U32" s="16"/>
      <c r="V32" s="16"/>
      <c r="W32" s="16"/>
    </row>
    <row r="33" spans="4:16" x14ac:dyDescent="0.2">
      <c r="D33" s="123">
        <f t="shared" si="3"/>
        <v>5</v>
      </c>
      <c r="E33" s="126">
        <v>5.6594536454891653E-2</v>
      </c>
      <c r="H33" s="21">
        <f t="shared" si="0"/>
        <v>5</v>
      </c>
      <c r="I33" s="22">
        <f t="shared" si="4"/>
        <v>0.75937832466339494</v>
      </c>
      <c r="J33" s="25">
        <f t="shared" si="7"/>
        <v>0.94372319777700009</v>
      </c>
      <c r="K33" s="23">
        <f>(1/J33)^(1/(H33-H32))-1</f>
        <v>5.9632742265490091E-2</v>
      </c>
      <c r="L33" s="23">
        <f t="shared" si="1"/>
        <v>2.7907844339604138E-2</v>
      </c>
      <c r="M33" s="23">
        <f>(1+E33)^(1/4)-1</f>
        <v>1.3857901453455224E-2</v>
      </c>
      <c r="N33" s="23">
        <f t="shared" si="2"/>
        <v>4.5981253223239538E-3</v>
      </c>
      <c r="O33" s="24">
        <f t="shared" si="8"/>
        <v>0.3168666625338088</v>
      </c>
      <c r="P33" s="12"/>
    </row>
    <row r="34" spans="4:16" x14ac:dyDescent="0.2">
      <c r="D34" s="123">
        <f t="shared" si="3"/>
        <v>6</v>
      </c>
      <c r="E34" s="126">
        <v>5.7372964568658924E-2</v>
      </c>
      <c r="H34" s="21">
        <f t="shared" si="0"/>
        <v>6</v>
      </c>
      <c r="I34" s="22">
        <f t="shared" si="4"/>
        <v>0.71553484573880843</v>
      </c>
      <c r="J34" s="25">
        <f t="shared" si="7"/>
        <v>0.94226398423470836</v>
      </c>
      <c r="K34" s="23">
        <f t="shared" si="6"/>
        <v>6.1273715998159339E-2</v>
      </c>
      <c r="L34" s="23">
        <f t="shared" si="1"/>
        <v>2.8286421464690514E-2</v>
      </c>
      <c r="M34" s="23">
        <f t="shared" si="5"/>
        <v>1.4044585540838206E-2</v>
      </c>
      <c r="N34" s="23">
        <f t="shared" si="2"/>
        <v>4.6597812257263005E-3</v>
      </c>
      <c r="O34" s="24">
        <f>(1+E34)^H34-1</f>
        <v>0.39755597642134943</v>
      </c>
      <c r="P34" s="12"/>
    </row>
    <row r="35" spans="4:16" x14ac:dyDescent="0.2">
      <c r="D35" s="123">
        <f t="shared" si="3"/>
        <v>7</v>
      </c>
      <c r="E35" s="126">
        <v>5.8172249892139982E-2</v>
      </c>
      <c r="H35" s="21">
        <f t="shared" si="0"/>
        <v>7</v>
      </c>
      <c r="I35" s="22">
        <f t="shared" si="4"/>
        <v>0.67314003792199795</v>
      </c>
      <c r="J35" s="25">
        <f t="shared" si="7"/>
        <v>0.94075088296638198</v>
      </c>
      <c r="K35" s="23">
        <f t="shared" si="6"/>
        <v>6.2980665877020892E-2</v>
      </c>
      <c r="L35" s="23">
        <f t="shared" si="1"/>
        <v>2.8674997213473663E-2</v>
      </c>
      <c r="M35" s="23">
        <f t="shared" si="5"/>
        <v>1.4236164418067743E-2</v>
      </c>
      <c r="N35" s="23">
        <f t="shared" si="2"/>
        <v>4.7230458579297085E-3</v>
      </c>
      <c r="O35" s="24">
        <f t="shared" si="8"/>
        <v>0.48557498241677588</v>
      </c>
      <c r="P35" s="12"/>
    </row>
    <row r="36" spans="4:16" x14ac:dyDescent="0.2">
      <c r="D36" s="123">
        <f t="shared" si="3"/>
        <v>8</v>
      </c>
      <c r="E36" s="126">
        <v>5.8745146239567614E-2</v>
      </c>
      <c r="H36" s="21">
        <f t="shared" si="0"/>
        <v>8</v>
      </c>
      <c r="I36" s="22">
        <f t="shared" si="4"/>
        <v>0.63338611886943597</v>
      </c>
      <c r="J36" s="25">
        <f t="shared" si="7"/>
        <v>0.94094257240249235</v>
      </c>
      <c r="K36" s="23">
        <f t="shared" si="6"/>
        <v>6.2764114760709866E-2</v>
      </c>
      <c r="L36" s="23">
        <f t="shared" si="1"/>
        <v>2.8953422774601334E-2</v>
      </c>
      <c r="M36" s="23">
        <f t="shared" si="5"/>
        <v>1.4373413874102514E-2</v>
      </c>
      <c r="N36" s="23">
        <f t="shared" si="2"/>
        <v>4.7683645179463774E-3</v>
      </c>
      <c r="O36" s="24">
        <f t="shared" si="8"/>
        <v>0.57881578109882215</v>
      </c>
      <c r="P36" s="12"/>
    </row>
    <row r="37" spans="4:16" x14ac:dyDescent="0.2">
      <c r="D37" s="123">
        <f t="shared" si="3"/>
        <v>9</v>
      </c>
      <c r="E37" s="126">
        <v>5.9208337499103036E-2</v>
      </c>
      <c r="H37" s="21">
        <f t="shared" si="0"/>
        <v>9</v>
      </c>
      <c r="I37" s="22">
        <f t="shared" si="4"/>
        <v>0.59589190305460427</v>
      </c>
      <c r="J37" s="25">
        <f t="shared" si="7"/>
        <v>0.94080354037161873</v>
      </c>
      <c r="K37" s="23">
        <f t="shared" si="6"/>
        <v>6.2921170136114313E-2</v>
      </c>
      <c r="L37" s="23">
        <f t="shared" si="1"/>
        <v>2.917847698982845E-2</v>
      </c>
      <c r="M37" s="23">
        <f t="shared" si="5"/>
        <v>1.4484340435981569E-2</v>
      </c>
      <c r="N37" s="23">
        <f t="shared" si="2"/>
        <v>4.804988584308667E-3</v>
      </c>
      <c r="O37" s="24">
        <f t="shared" si="8"/>
        <v>0.67815671747492345</v>
      </c>
      <c r="P37" s="12"/>
    </row>
    <row r="38" spans="4:16" x14ac:dyDescent="0.2">
      <c r="D38" s="123">
        <f t="shared" si="3"/>
        <v>10</v>
      </c>
      <c r="E38" s="126">
        <v>5.9555304811920617E-2</v>
      </c>
      <c r="H38" s="21">
        <f t="shared" si="0"/>
        <v>10</v>
      </c>
      <c r="I38" s="22">
        <f t="shared" si="4"/>
        <v>0.56074279004205985</v>
      </c>
      <c r="J38" s="25">
        <f t="shared" si="7"/>
        <v>0.94101427988471331</v>
      </c>
      <c r="K38" s="23">
        <f t="shared" si="6"/>
        <v>6.2683129657196357E-2</v>
      </c>
      <c r="L38" s="23">
        <f t="shared" si="1"/>
        <v>2.9347028368917227E-2</v>
      </c>
      <c r="M38" s="23">
        <f t="shared" si="5"/>
        <v>1.456740947505164E-2</v>
      </c>
      <c r="N38" s="23">
        <f t="shared" si="2"/>
        <v>4.8324133239596723E-3</v>
      </c>
      <c r="O38" s="24">
        <f t="shared" si="8"/>
        <v>0.78334883258149901</v>
      </c>
      <c r="P38" s="12"/>
    </row>
    <row r="39" spans="4:16" x14ac:dyDescent="0.2">
      <c r="D39" s="123">
        <f t="shared" si="3"/>
        <v>11</v>
      </c>
      <c r="E39" s="126">
        <v>5.9923575428221354E-2</v>
      </c>
      <c r="H39" s="21">
        <f t="shared" si="0"/>
        <v>11</v>
      </c>
      <c r="I39" s="22">
        <f t="shared" si="4"/>
        <v>0.52720549355832613</v>
      </c>
      <c r="J39" s="25">
        <f t="shared" si="7"/>
        <v>0.94019130146779384</v>
      </c>
      <c r="K39" s="23">
        <f t="shared" si="6"/>
        <v>6.3613328945752778E-2</v>
      </c>
      <c r="L39" s="23">
        <f t="shared" si="1"/>
        <v>2.9525898376636883E-2</v>
      </c>
      <c r="M39" s="23">
        <f t="shared" si="5"/>
        <v>1.4655556519864943E-2</v>
      </c>
      <c r="N39" s="23">
        <f t="shared" si="2"/>
        <v>4.8615128994529133E-3</v>
      </c>
      <c r="O39" s="24">
        <f t="shared" si="8"/>
        <v>0.89679358849353008</v>
      </c>
      <c r="P39" s="12"/>
    </row>
    <row r="40" spans="4:16" x14ac:dyDescent="0.2">
      <c r="D40" s="123">
        <f t="shared" si="3"/>
        <v>12</v>
      </c>
      <c r="E40" s="126">
        <v>6.0291846044522091E-2</v>
      </c>
      <c r="H40" s="21">
        <f t="shared" si="0"/>
        <v>12</v>
      </c>
      <c r="I40" s="22">
        <f t="shared" si="4"/>
        <v>0.49533035249770863</v>
      </c>
      <c r="J40" s="25">
        <f t="shared" si="7"/>
        <v>0.93953943680389385</v>
      </c>
      <c r="K40" s="23">
        <f t="shared" si="6"/>
        <v>6.4351277687480168E-2</v>
      </c>
      <c r="L40" s="23">
        <f t="shared" si="1"/>
        <v>2.9704737312848284E-2</v>
      </c>
      <c r="M40" s="23">
        <f t="shared" si="5"/>
        <v>1.4743680597641529E-2</v>
      </c>
      <c r="N40" s="23">
        <f t="shared" si="2"/>
        <v>4.890603208323796E-3</v>
      </c>
      <c r="O40" s="24">
        <f t="shared" si="8"/>
        <v>1.0188546794225091</v>
      </c>
      <c r="P40" s="12"/>
    </row>
    <row r="41" spans="4:16" x14ac:dyDescent="0.2">
      <c r="D41" s="123">
        <f t="shared" si="3"/>
        <v>13</v>
      </c>
      <c r="E41" s="126">
        <v>6.0645293874996543E-2</v>
      </c>
      <c r="F41" s="26"/>
      <c r="H41" s="21">
        <f t="shared" si="0"/>
        <v>13</v>
      </c>
      <c r="I41" s="22">
        <f t="shared" si="4"/>
        <v>0.46514440222390036</v>
      </c>
      <c r="J41" s="25">
        <f t="shared" si="7"/>
        <v>0.93905895303690701</v>
      </c>
      <c r="K41" s="23">
        <f t="shared" si="6"/>
        <v>6.4895869174145249E-2</v>
      </c>
      <c r="L41" s="23">
        <f t="shared" si="1"/>
        <v>2.9876348827856392E-2</v>
      </c>
      <c r="M41" s="23">
        <f t="shared" si="5"/>
        <v>1.4828236120702609E-2</v>
      </c>
      <c r="N41" s="23">
        <f t="shared" si="2"/>
        <v>4.9185139317362569E-3</v>
      </c>
      <c r="O41" s="24">
        <f t="shared" si="8"/>
        <v>1.1498700085799234</v>
      </c>
      <c r="P41" s="12"/>
    </row>
    <row r="42" spans="4:16" x14ac:dyDescent="0.2">
      <c r="D42" s="123">
        <f t="shared" si="3"/>
        <v>14</v>
      </c>
      <c r="E42" s="126">
        <v>6.0998741705471003E-2</v>
      </c>
      <c r="F42" s="26"/>
      <c r="H42" s="21">
        <f t="shared" si="0"/>
        <v>14</v>
      </c>
      <c r="I42" s="22">
        <f t="shared" si="4"/>
        <v>0.43650762667639076</v>
      </c>
      <c r="J42" s="25">
        <f t="shared" si="7"/>
        <v>0.93843465510797419</v>
      </c>
      <c r="K42" s="23">
        <f t="shared" si="6"/>
        <v>6.5604296001773532E-2</v>
      </c>
      <c r="L42" s="23">
        <f t="shared" si="1"/>
        <v>3.0047931751465029E-2</v>
      </c>
      <c r="M42" s="23">
        <f t="shared" si="5"/>
        <v>1.4912770513537899E-2</v>
      </c>
      <c r="N42" s="23">
        <f t="shared" si="2"/>
        <v>4.9464161306007615E-3</v>
      </c>
      <c r="O42" s="24">
        <f t="shared" si="8"/>
        <v>1.2909107169881362</v>
      </c>
      <c r="P42" s="12"/>
    </row>
    <row r="43" spans="4:16" x14ac:dyDescent="0.2">
      <c r="D43" s="123">
        <f t="shared" si="3"/>
        <v>15</v>
      </c>
      <c r="E43" s="126">
        <v>6.1352189535945456E-2</v>
      </c>
      <c r="F43" s="26"/>
      <c r="H43" s="21">
        <f t="shared" si="0"/>
        <v>15</v>
      </c>
      <c r="I43" s="22">
        <f t="shared" si="4"/>
        <v>0.40936169037529957</v>
      </c>
      <c r="J43" s="25">
        <f t="shared" si="7"/>
        <v>0.93781108360515286</v>
      </c>
      <c r="K43" s="23">
        <f t="shared" si="6"/>
        <v>6.6312840061325762E-2</v>
      </c>
      <c r="L43" s="23">
        <f>(1+E43)^(1/2)-1</f>
        <v>3.0219486097960324E-2</v>
      </c>
      <c r="M43" s="23">
        <f t="shared" si="5"/>
        <v>1.4997283788464211E-2</v>
      </c>
      <c r="N43" s="23">
        <f t="shared" si="2"/>
        <v>4.9743098103591787E-3</v>
      </c>
      <c r="O43" s="24">
        <f t="shared" si="8"/>
        <v>1.4428275129585475</v>
      </c>
      <c r="P43" s="12"/>
    </row>
    <row r="44" spans="4:16" x14ac:dyDescent="0.2">
      <c r="D44" s="123">
        <f t="shared" si="3"/>
        <v>16</v>
      </c>
      <c r="E44" s="126">
        <v>6.1578515009623969E-2</v>
      </c>
      <c r="F44" s="26"/>
      <c r="H44" s="21">
        <f t="shared" si="0"/>
        <v>16</v>
      </c>
      <c r="I44" s="22">
        <f t="shared" si="4"/>
        <v>0.38438468333217096</v>
      </c>
      <c r="J44" s="25">
        <f t="shared" si="7"/>
        <v>0.93898548000368598</v>
      </c>
      <c r="K44" s="23">
        <f t="shared" si="6"/>
        <v>6.4979194349282787E-2</v>
      </c>
      <c r="L44" s="23">
        <f t="shared" si="1"/>
        <v>3.0329323570684297E-2</v>
      </c>
      <c r="M44" s="23">
        <f>(1+E44)^(1/4)-1</f>
        <v>1.505138962058683E-2</v>
      </c>
      <c r="N44" s="23">
        <f t="shared" si="2"/>
        <v>4.9921666742849258E-3</v>
      </c>
      <c r="O44" s="24">
        <f t="shared" si="8"/>
        <v>1.6015604766848557</v>
      </c>
      <c r="P44" s="12"/>
    </row>
    <row r="45" spans="4:16" x14ac:dyDescent="0.2">
      <c r="D45" s="123">
        <f t="shared" si="3"/>
        <v>17</v>
      </c>
      <c r="E45" s="126">
        <v>6.1804840483302481E-2</v>
      </c>
      <c r="F45" s="26"/>
      <c r="H45" s="21">
        <f t="shared" si="0"/>
        <v>17</v>
      </c>
      <c r="I45" s="22">
        <f t="shared" si="4"/>
        <v>0.36077803239855721</v>
      </c>
      <c r="J45" s="25">
        <f t="shared" si="7"/>
        <v>0.93858586994421478</v>
      </c>
      <c r="K45" s="23">
        <f t="shared" si="6"/>
        <v>6.5432617326143472E-2</v>
      </c>
      <c r="L45" s="23">
        <f t="shared" si="1"/>
        <v>3.043914933551628E-2</v>
      </c>
      <c r="M45" s="23">
        <f t="shared" si="5"/>
        <v>1.5105486801995527E-2</v>
      </c>
      <c r="N45" s="23">
        <f t="shared" si="2"/>
        <v>5.010020048772601E-3</v>
      </c>
      <c r="O45" s="24">
        <f t="shared" si="8"/>
        <v>1.7717873878065951</v>
      </c>
      <c r="P45" s="12"/>
    </row>
    <row r="46" spans="4:16" x14ac:dyDescent="0.2">
      <c r="D46" s="123">
        <f t="shared" si="3"/>
        <v>18</v>
      </c>
      <c r="E46" s="126">
        <v>6.2031165956980994E-2</v>
      </c>
      <c r="F46" s="26"/>
      <c r="H46" s="21">
        <f t="shared" si="0"/>
        <v>18</v>
      </c>
      <c r="I46" s="22">
        <f t="shared" si="4"/>
        <v>0.33847710025651762</v>
      </c>
      <c r="J46" s="25">
        <f t="shared" si="7"/>
        <v>0.93818655755236391</v>
      </c>
      <c r="K46" s="23">
        <f t="shared" si="6"/>
        <v>6.58860883798007E-2</v>
      </c>
      <c r="L46" s="23">
        <f t="shared" si="1"/>
        <v>3.054896339619928E-2</v>
      </c>
      <c r="M46" s="23">
        <f t="shared" si="5"/>
        <v>1.5159575335917053E-2</v>
      </c>
      <c r="N46" s="23">
        <f t="shared" si="2"/>
        <v>5.0278699352472866E-3</v>
      </c>
      <c r="O46" s="24">
        <f t="shared" si="8"/>
        <v>1.9544096166096372</v>
      </c>
      <c r="P46" s="12"/>
    </row>
    <row r="47" spans="4:16" x14ac:dyDescent="0.2">
      <c r="D47" s="123">
        <f t="shared" si="3"/>
        <v>19</v>
      </c>
      <c r="E47" s="126">
        <v>6.2257491430659506E-2</v>
      </c>
      <c r="F47" s="26"/>
      <c r="H47" s="21">
        <f t="shared" si="0"/>
        <v>19</v>
      </c>
      <c r="I47" s="22">
        <f t="shared" si="4"/>
        <v>0.31741960804900488</v>
      </c>
      <c r="J47" s="25">
        <f t="shared" si="7"/>
        <v>0.93778754252044183</v>
      </c>
      <c r="K47" s="23">
        <f t="shared" si="6"/>
        <v>6.6339607489723118E-2</v>
      </c>
      <c r="L47" s="23">
        <f t="shared" si="1"/>
        <v>3.0658765756474526E-2</v>
      </c>
      <c r="M47" s="23">
        <f t="shared" si="5"/>
        <v>1.5213655225575939E-2</v>
      </c>
      <c r="N47" s="23">
        <f t="shared" si="2"/>
        <v>5.045716335133843E-3</v>
      </c>
      <c r="O47" s="24">
        <f t="shared" si="8"/>
        <v>2.1504039909393842</v>
      </c>
      <c r="P47" s="12"/>
    </row>
    <row r="48" spans="4:16" x14ac:dyDescent="0.2">
      <c r="D48" s="123">
        <f t="shared" si="3"/>
        <v>20</v>
      </c>
      <c r="E48" s="126">
        <v>6.2483816904338019E-2</v>
      </c>
      <c r="F48" s="26"/>
      <c r="H48" s="21">
        <f t="shared" si="0"/>
        <v>20</v>
      </c>
      <c r="I48" s="22">
        <f t="shared" si="4"/>
        <v>0.29754559327537083</v>
      </c>
      <c r="J48" s="25">
        <f t="shared" si="7"/>
        <v>0.93738882454115502</v>
      </c>
      <c r="K48" s="23">
        <f t="shared" si="6"/>
        <v>6.6793174635394914E-2</v>
      </c>
      <c r="L48" s="23">
        <f t="shared" si="1"/>
        <v>3.076855642008125E-2</v>
      </c>
      <c r="M48" s="23">
        <f t="shared" si="5"/>
        <v>1.5267726474195165E-2</v>
      </c>
      <c r="N48" s="23">
        <f t="shared" si="2"/>
        <v>5.063559249855798E-3</v>
      </c>
      <c r="O48" s="24">
        <f t="shared" si="8"/>
        <v>2.3608294748782437</v>
      </c>
      <c r="P48" s="12"/>
    </row>
    <row r="49" spans="4:16" x14ac:dyDescent="0.2">
      <c r="D49" s="123">
        <f t="shared" si="3"/>
        <v>21</v>
      </c>
      <c r="E49" s="126">
        <v>6.247378814231834E-2</v>
      </c>
      <c r="F49" s="26"/>
      <c r="H49" s="21">
        <f t="shared" si="0"/>
        <v>21</v>
      </c>
      <c r="I49" s="22">
        <f t="shared" si="4"/>
        <v>0.28010269306776792</v>
      </c>
      <c r="J49" s="25">
        <f t="shared" si="7"/>
        <v>0.94137738685492833</v>
      </c>
      <c r="K49" s="23">
        <f t="shared" si="6"/>
        <v>6.2273232779603394E-2</v>
      </c>
      <c r="L49" s="23">
        <f t="shared" si="1"/>
        <v>3.0763691707424323E-2</v>
      </c>
      <c r="M49" s="23">
        <f t="shared" si="5"/>
        <v>1.5265330693126966E-2</v>
      </c>
      <c r="N49" s="23">
        <f t="shared" si="2"/>
        <v>5.0627686819826323E-3</v>
      </c>
      <c r="O49" s="24">
        <f t="shared" si="8"/>
        <v>2.5701191910998884</v>
      </c>
      <c r="P49" s="12"/>
    </row>
    <row r="50" spans="4:16" x14ac:dyDescent="0.2">
      <c r="D50" s="123">
        <f t="shared" si="3"/>
        <v>22</v>
      </c>
      <c r="E50" s="126">
        <v>6.2463759380298668E-2</v>
      </c>
      <c r="F50" s="26"/>
      <c r="H50" s="21">
        <f t="shared" si="0"/>
        <v>22</v>
      </c>
      <c r="I50" s="22">
        <f t="shared" si="4"/>
        <v>0.26368731962245617</v>
      </c>
      <c r="J50" s="25">
        <f t="shared" si="7"/>
        <v>0.94139516023382108</v>
      </c>
      <c r="K50" s="23">
        <f t="shared" si="6"/>
        <v>6.2253177243467794E-2</v>
      </c>
      <c r="L50" s="23">
        <f t="shared" si="1"/>
        <v>3.0758826971808428E-2</v>
      </c>
      <c r="M50" s="23">
        <f t="shared" si="5"/>
        <v>1.5262934895098335E-2</v>
      </c>
      <c r="N50" s="23">
        <f t="shared" si="2"/>
        <v>5.0619781072691605E-3</v>
      </c>
      <c r="O50" s="24">
        <f t="shared" si="8"/>
        <v>2.7923704538837368</v>
      </c>
      <c r="P50" s="12"/>
    </row>
    <row r="51" spans="4:16" x14ac:dyDescent="0.2">
      <c r="D51" s="123">
        <f t="shared" si="3"/>
        <v>23</v>
      </c>
      <c r="E51" s="126">
        <v>6.2453730618278989E-2</v>
      </c>
      <c r="F51" s="26"/>
      <c r="H51" s="21">
        <f t="shared" si="0"/>
        <v>23</v>
      </c>
      <c r="I51" s="22">
        <f t="shared" si="4"/>
        <v>0.24823865327709319</v>
      </c>
      <c r="J51" s="25">
        <f t="shared" si="7"/>
        <v>0.94141293419993732</v>
      </c>
      <c r="K51" s="23">
        <f t="shared" si="6"/>
        <v>6.2233121802020896E-2</v>
      </c>
      <c r="L51" s="23">
        <f t="shared" si="1"/>
        <v>3.0753962213233121E-2</v>
      </c>
      <c r="M51" s="23">
        <f t="shared" si="5"/>
        <v>1.5260539080108826E-2</v>
      </c>
      <c r="N51" s="23">
        <f t="shared" si="2"/>
        <v>5.0611875257151606E-3</v>
      </c>
      <c r="O51" s="24">
        <f t="shared" si="8"/>
        <v>3.0283815062586683</v>
      </c>
      <c r="P51" s="12"/>
    </row>
    <row r="52" spans="4:16" x14ac:dyDescent="0.2">
      <c r="D52" s="123">
        <f t="shared" si="3"/>
        <v>24</v>
      </c>
      <c r="E52" s="126">
        <v>6.2443701856259318E-2</v>
      </c>
      <c r="F52" s="26"/>
      <c r="H52" s="21">
        <f t="shared" si="0"/>
        <v>24</v>
      </c>
      <c r="I52" s="22">
        <f t="shared" si="4"/>
        <v>0.23369949129462297</v>
      </c>
      <c r="J52" s="25">
        <f t="shared" si="7"/>
        <v>0.94143070875331791</v>
      </c>
      <c r="K52" s="23">
        <f t="shared" si="6"/>
        <v>6.2213066455248711E-2</v>
      </c>
      <c r="L52" s="23">
        <f t="shared" si="1"/>
        <v>3.0749097431697736E-2</v>
      </c>
      <c r="M52" s="23">
        <f t="shared" si="5"/>
        <v>1.5258143248158218E-2</v>
      </c>
      <c r="N52" s="23">
        <f t="shared" si="2"/>
        <v>5.0603969373204105E-3</v>
      </c>
      <c r="O52" s="24">
        <f t="shared" si="8"/>
        <v>3.2789994726146343</v>
      </c>
      <c r="P52" s="12"/>
    </row>
    <row r="53" spans="4:16" x14ac:dyDescent="0.2">
      <c r="D53" s="123">
        <f t="shared" si="3"/>
        <v>25</v>
      </c>
      <c r="E53" s="126">
        <v>6.2433673094239639E-2</v>
      </c>
      <c r="H53" s="21">
        <f t="shared" si="0"/>
        <v>25</v>
      </c>
      <c r="I53" s="22">
        <f t="shared" si="4"/>
        <v>0.22001603176611731</v>
      </c>
      <c r="J53" s="25">
        <f t="shared" si="7"/>
        <v>0.94144848389398061</v>
      </c>
      <c r="K53" s="23">
        <f t="shared" si="6"/>
        <v>6.2193011203163229E-2</v>
      </c>
      <c r="L53" s="23">
        <f t="shared" si="1"/>
        <v>3.0744232627202051E-2</v>
      </c>
      <c r="M53" s="23">
        <f t="shared" si="5"/>
        <v>1.5255747399246289E-2</v>
      </c>
      <c r="N53" s="23">
        <f t="shared" si="2"/>
        <v>5.0596063420849102E-3</v>
      </c>
      <c r="O53" s="24">
        <f t="shared" si="8"/>
        <v>3.5451233347532858</v>
      </c>
      <c r="P53" s="12"/>
    </row>
    <row r="54" spans="4:16" x14ac:dyDescent="0.2">
      <c r="D54" s="123">
        <f t="shared" si="3"/>
        <v>26</v>
      </c>
      <c r="E54" s="126">
        <v>6.2395867178893338E-2</v>
      </c>
      <c r="H54" s="21">
        <f t="shared" si="0"/>
        <v>26</v>
      </c>
      <c r="I54" s="22">
        <f t="shared" si="4"/>
        <v>0.20727852661069501</v>
      </c>
      <c r="J54" s="25">
        <f t="shared" si="7"/>
        <v>0.94210646809154985</v>
      </c>
      <c r="K54" s="23">
        <f t="shared" si="6"/>
        <v>6.1451156391831852E-2</v>
      </c>
      <c r="L54" s="23">
        <f t="shared" si="1"/>
        <v>3.0725893329013765E-2</v>
      </c>
      <c r="M54" s="23">
        <f t="shared" si="5"/>
        <v>1.524671549777179E-2</v>
      </c>
      <c r="N54" s="23">
        <f t="shared" si="2"/>
        <v>5.0566259350026677E-3</v>
      </c>
      <c r="O54" s="24">
        <f>(1+E54)^H54-1</f>
        <v>3.8244264196173745</v>
      </c>
      <c r="P54" s="12"/>
    </row>
    <row r="55" spans="4:16" x14ac:dyDescent="0.2">
      <c r="D55" s="123">
        <f t="shared" si="3"/>
        <v>27</v>
      </c>
      <c r="E55" s="126">
        <v>6.2358061263547038E-2</v>
      </c>
      <c r="H55" s="21">
        <f t="shared" si="0"/>
        <v>27</v>
      </c>
      <c r="I55" s="22">
        <f t="shared" si="4"/>
        <v>0.19529234571283191</v>
      </c>
      <c r="J55" s="25">
        <f t="shared" si="7"/>
        <v>0.94217355220603616</v>
      </c>
      <c r="K55" s="23">
        <f t="shared" si="6"/>
        <v>6.1375579540061453E-2</v>
      </c>
      <c r="L55" s="23">
        <f t="shared" si="1"/>
        <v>3.0707553704515611E-2</v>
      </c>
      <c r="M55" s="23">
        <f t="shared" si="5"/>
        <v>1.5237683355240561E-2</v>
      </c>
      <c r="N55" s="23">
        <f t="shared" si="2"/>
        <v>5.0536454306979728E-3</v>
      </c>
      <c r="O55" s="24">
        <f>(1+E55)^H55-1</f>
        <v>4.1205283870697746</v>
      </c>
      <c r="P55" s="12"/>
    </row>
    <row r="56" spans="4:16" x14ac:dyDescent="0.2">
      <c r="D56" s="123">
        <f t="shared" si="3"/>
        <v>28</v>
      </c>
      <c r="E56" s="126">
        <v>6.2320255348200737E-2</v>
      </c>
      <c r="H56" s="21">
        <f t="shared" si="0"/>
        <v>28</v>
      </c>
      <c r="I56" s="22">
        <f t="shared" si="4"/>
        <v>0.18401238572538905</v>
      </c>
      <c r="J56" s="25">
        <f t="shared" si="7"/>
        <v>0.94224064467928759</v>
      </c>
      <c r="K56" s="23">
        <f t="shared" si="6"/>
        <v>6.1300004034926969E-2</v>
      </c>
      <c r="L56" s="23">
        <f t="shared" si="1"/>
        <v>3.0689213753690492E-2</v>
      </c>
      <c r="M56" s="23">
        <f t="shared" si="5"/>
        <v>1.5228650971637281E-2</v>
      </c>
      <c r="N56" s="23">
        <f t="shared" si="2"/>
        <v>5.0506648291639422E-3</v>
      </c>
      <c r="O56" s="24">
        <f>(1+E56)^H56-1</f>
        <v>4.434416797858109</v>
      </c>
      <c r="P56" s="12"/>
    </row>
    <row r="57" spans="4:16" x14ac:dyDescent="0.2">
      <c r="D57" s="123">
        <f t="shared" si="3"/>
        <v>29</v>
      </c>
      <c r="E57" s="126">
        <v>6.2282449432854436E-2</v>
      </c>
      <c r="H57" s="21">
        <f t="shared" si="0"/>
        <v>29</v>
      </c>
      <c r="I57" s="22">
        <f t="shared" si="4"/>
        <v>0.17339629633931353</v>
      </c>
      <c r="J57" s="25">
        <f t="shared" si="7"/>
        <v>0.94230774551274799</v>
      </c>
      <c r="K57" s="23">
        <f t="shared" si="6"/>
        <v>6.1224429876525432E-2</v>
      </c>
      <c r="L57" s="23">
        <f t="shared" si="1"/>
        <v>3.0670873476520866E-2</v>
      </c>
      <c r="M57" s="23">
        <f t="shared" si="5"/>
        <v>1.5219618346947072E-2</v>
      </c>
      <c r="N57" s="23">
        <f t="shared" si="2"/>
        <v>5.0476841303939146E-3</v>
      </c>
      <c r="O57" s="24">
        <f>(1+E57)^H57-1</f>
        <v>4.7671358680183848</v>
      </c>
      <c r="P57" s="12"/>
    </row>
    <row r="58" spans="4:16" x14ac:dyDescent="0.2">
      <c r="D58" s="124">
        <f t="shared" si="3"/>
        <v>30</v>
      </c>
      <c r="E58" s="127">
        <v>6.2244643517508136E-2</v>
      </c>
      <c r="H58" s="27">
        <f t="shared" si="0"/>
        <v>30</v>
      </c>
      <c r="I58" s="28">
        <f t="shared" si="4"/>
        <v>0.16340430956964289</v>
      </c>
      <c r="J58" s="29">
        <f t="shared" si="7"/>
        <v>0.9423748547078673</v>
      </c>
      <c r="K58" s="30">
        <f>(1/J58)^(1/(H58-H57))-1</f>
        <v>6.1148857064948103E-2</v>
      </c>
      <c r="L58" s="30">
        <f t="shared" si="1"/>
        <v>3.0652532872989191E-2</v>
      </c>
      <c r="M58" s="30">
        <f t="shared" si="5"/>
        <v>1.5210585481154837E-2</v>
      </c>
      <c r="N58" s="30">
        <f t="shared" si="2"/>
        <v>5.0447033343812286E-3</v>
      </c>
      <c r="O58" s="31">
        <f>(1+E58)^H58-1</f>
        <v>5.1197896348859766</v>
      </c>
      <c r="P58" s="12"/>
    </row>
    <row r="59" spans="4:16" x14ac:dyDescent="0.2">
      <c r="D59" s="71"/>
    </row>
    <row r="60" spans="4:16" x14ac:dyDescent="0.2">
      <c r="D60" s="71"/>
    </row>
  </sheetData>
  <pageMargins left="0.75" right="0.75" top="1" bottom="1" header="0.5" footer="0.5"/>
  <pageSetup paperSize="9" orientation="portrait" horizontalDpi="4294967295" verticalDpi="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P25"/>
  <sheetViews>
    <sheetView showGridLines="0" zoomScale="150" zoomScaleNormal="150" workbookViewId="0">
      <selection activeCell="E12" sqref="E12"/>
    </sheetView>
  </sheetViews>
  <sheetFormatPr defaultColWidth="11.33203125" defaultRowHeight="12" x14ac:dyDescent="0.25"/>
  <cols>
    <col min="1" max="1" width="4.109375" style="32" customWidth="1"/>
    <col min="2" max="6" width="11.33203125" style="32" customWidth="1"/>
    <col min="7" max="7" width="5.6640625" style="32" bestFit="1" customWidth="1"/>
    <col min="8" max="8" width="3.6640625" style="32" bestFit="1" customWidth="1"/>
    <col min="9" max="9" width="6.109375" style="32" bestFit="1" customWidth="1"/>
    <col min="10" max="10" width="7" style="32" bestFit="1" customWidth="1"/>
    <col min="11" max="11" width="8.33203125" style="32" bestFit="1" customWidth="1"/>
    <col min="12" max="16384" width="11.33203125" style="32"/>
  </cols>
  <sheetData>
    <row r="6" spans="2:16" x14ac:dyDescent="0.25">
      <c r="M6" s="33"/>
      <c r="N6" s="33"/>
      <c r="O6" s="33"/>
      <c r="P6" s="34"/>
    </row>
    <row r="7" spans="2:16" x14ac:dyDescent="0.25">
      <c r="M7" s="33"/>
      <c r="N7" s="33"/>
      <c r="O7" s="33"/>
      <c r="P7" s="34"/>
    </row>
    <row r="16" spans="2:16" x14ac:dyDescent="0.25">
      <c r="B16" s="205" t="s">
        <v>53</v>
      </c>
      <c r="C16" s="206"/>
    </row>
    <row r="17" spans="2:11" x14ac:dyDescent="0.25">
      <c r="B17" s="132" t="s">
        <v>54</v>
      </c>
      <c r="C17" s="133">
        <v>98.84</v>
      </c>
      <c r="F17" s="134" t="s">
        <v>55</v>
      </c>
      <c r="G17" s="136" t="s">
        <v>56</v>
      </c>
      <c r="H17" s="138" t="s">
        <v>57</v>
      </c>
      <c r="I17" s="136" t="s">
        <v>58</v>
      </c>
      <c r="J17" s="137" t="s">
        <v>59</v>
      </c>
      <c r="K17" s="137" t="s">
        <v>60</v>
      </c>
    </row>
    <row r="18" spans="2:11" x14ac:dyDescent="0.25">
      <c r="B18" s="132" t="s">
        <v>61</v>
      </c>
      <c r="C18" s="133">
        <v>192.5</v>
      </c>
      <c r="F18" s="132">
        <v>0</v>
      </c>
      <c r="G18" s="140">
        <f>F18/365</f>
        <v>0</v>
      </c>
      <c r="H18" s="72"/>
      <c r="I18" s="72"/>
      <c r="J18" s="73"/>
      <c r="K18" s="73"/>
    </row>
    <row r="19" spans="2:11" x14ac:dyDescent="0.25">
      <c r="B19" s="132" t="s">
        <v>62</v>
      </c>
      <c r="C19" s="133">
        <v>277.5</v>
      </c>
      <c r="F19" s="132">
        <f>C23</f>
        <v>65</v>
      </c>
      <c r="G19" s="140">
        <f>F19/365</f>
        <v>0.17808219178082191</v>
      </c>
      <c r="H19" s="139">
        <f>C20</f>
        <v>100</v>
      </c>
      <c r="I19" s="74">
        <f>(C17/C20)</f>
        <v>0.98840000000000006</v>
      </c>
      <c r="J19" s="75">
        <f>(I19)^-(1/G19)-1</f>
        <v>6.7713249969269196E-2</v>
      </c>
      <c r="K19" s="75">
        <f>((1+J19)*((1+J19)/(1+J18))^(G18/(G19-G18)))-1</f>
        <v>6.7713249969269196E-2</v>
      </c>
    </row>
    <row r="20" spans="2:11" x14ac:dyDescent="0.25">
      <c r="B20" s="132" t="s">
        <v>20</v>
      </c>
      <c r="C20" s="133">
        <v>100</v>
      </c>
      <c r="F20" s="132">
        <f>C24</f>
        <v>187</v>
      </c>
      <c r="G20" s="140">
        <f>F20/365</f>
        <v>0.51232876712328768</v>
      </c>
      <c r="H20" s="139">
        <f>C21</f>
        <v>200</v>
      </c>
      <c r="I20" s="74">
        <f>(C18/C21)</f>
        <v>0.96250000000000002</v>
      </c>
      <c r="J20" s="75">
        <f>(I20)^-(1/G20)-1</f>
        <v>7.7456210247851986E-2</v>
      </c>
      <c r="K20" s="76">
        <f>((1+J20)*((1+J20)/(1+J19))^(G19/(G20-G19)))-1</f>
        <v>8.2683382455961851E-2</v>
      </c>
    </row>
    <row r="21" spans="2:11" x14ac:dyDescent="0.25">
      <c r="B21" s="132" t="s">
        <v>21</v>
      </c>
      <c r="C21" s="133">
        <v>200</v>
      </c>
      <c r="F21" s="135">
        <f>C25</f>
        <v>365</v>
      </c>
      <c r="G21" s="141">
        <f>F21/365</f>
        <v>1</v>
      </c>
      <c r="H21" s="139">
        <f>C22</f>
        <v>300</v>
      </c>
      <c r="I21" s="77">
        <f>(C19/C22)</f>
        <v>0.92500000000000004</v>
      </c>
      <c r="J21" s="75">
        <f>(I21)^-(1/G21)-1</f>
        <v>8.1081081081080919E-2</v>
      </c>
      <c r="K21" s="75">
        <f>((1+J21)*((1+J21)/(1+J20))^(G20/(G21-G20)))-1</f>
        <v>8.4902368244428761E-2</v>
      </c>
    </row>
    <row r="22" spans="2:11" x14ac:dyDescent="0.25">
      <c r="B22" s="132" t="s">
        <v>22</v>
      </c>
      <c r="C22" s="133">
        <v>300</v>
      </c>
      <c r="I22" s="35"/>
    </row>
    <row r="23" spans="2:11" x14ac:dyDescent="0.25">
      <c r="B23" s="132" t="s">
        <v>25</v>
      </c>
      <c r="C23" s="133">
        <v>65</v>
      </c>
      <c r="D23" s="32" t="s">
        <v>63</v>
      </c>
    </row>
    <row r="24" spans="2:11" x14ac:dyDescent="0.25">
      <c r="B24" s="132" t="s">
        <v>27</v>
      </c>
      <c r="C24" s="133">
        <v>187</v>
      </c>
      <c r="D24" s="32" t="s">
        <v>63</v>
      </c>
    </row>
    <row r="25" spans="2:11" x14ac:dyDescent="0.25">
      <c r="B25" s="132" t="s">
        <v>29</v>
      </c>
      <c r="C25" s="133">
        <v>365</v>
      </c>
      <c r="D25" s="32" t="s">
        <v>63</v>
      </c>
    </row>
  </sheetData>
  <mergeCells count="1">
    <mergeCell ref="B16:C16"/>
  </mergeCells>
  <pageMargins left="0.7" right="0.7" top="0.75" bottom="0.75" header="0.3" footer="0.3"/>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L21"/>
  <sheetViews>
    <sheetView workbookViewId="0">
      <selection activeCell="L13" sqref="L13:L17"/>
    </sheetView>
  </sheetViews>
  <sheetFormatPr defaultRowHeight="14.4" x14ac:dyDescent="0.3"/>
  <cols>
    <col min="3" max="3" width="9.109375" bestFit="1" customWidth="1"/>
    <col min="6" max="8" width="9.109375" bestFit="1" customWidth="1"/>
    <col min="9" max="9" width="12.5546875" bestFit="1" customWidth="1"/>
    <col min="10" max="10" width="12.33203125" bestFit="1" customWidth="1"/>
    <col min="11" max="11" width="12.6640625" bestFit="1" customWidth="1"/>
    <col min="12" max="12" width="13" bestFit="1" customWidth="1"/>
    <col min="13" max="13" width="17.109375" bestFit="1" customWidth="1"/>
  </cols>
  <sheetData>
    <row r="12" spans="2:11" ht="18" x14ac:dyDescent="0.35">
      <c r="B12" s="207" t="s">
        <v>53</v>
      </c>
      <c r="C12" s="208"/>
      <c r="D12" s="161"/>
      <c r="E12" s="161"/>
      <c r="F12" s="161"/>
      <c r="G12" s="161"/>
      <c r="H12" s="161"/>
      <c r="I12" s="161"/>
      <c r="J12" s="161"/>
      <c r="K12" s="161"/>
    </row>
    <row r="13" spans="2:11" ht="18" x14ac:dyDescent="0.35">
      <c r="B13" s="162" t="s">
        <v>54</v>
      </c>
      <c r="C13" s="163">
        <v>97.05</v>
      </c>
      <c r="D13" s="161"/>
      <c r="E13" s="161"/>
      <c r="F13" s="164" t="s">
        <v>55</v>
      </c>
      <c r="G13" s="165" t="s">
        <v>56</v>
      </c>
      <c r="H13" s="165" t="s">
        <v>58</v>
      </c>
      <c r="I13" s="166" t="s">
        <v>59</v>
      </c>
      <c r="J13" s="166" t="s">
        <v>96</v>
      </c>
      <c r="K13" s="166" t="s">
        <v>60</v>
      </c>
    </row>
    <row r="14" spans="2:11" ht="18" x14ac:dyDescent="0.35">
      <c r="B14" s="162" t="s">
        <v>61</v>
      </c>
      <c r="C14" s="163">
        <v>125.2</v>
      </c>
      <c r="D14" s="161"/>
      <c r="E14" s="161"/>
      <c r="F14" s="162">
        <v>0</v>
      </c>
      <c r="G14" s="167">
        <f>F14/365</f>
        <v>0</v>
      </c>
      <c r="H14" s="168"/>
      <c r="I14" s="169"/>
      <c r="J14" s="169"/>
      <c r="K14" s="169"/>
    </row>
    <row r="15" spans="2:11" ht="18" x14ac:dyDescent="0.35">
      <c r="B15" s="162" t="s">
        <v>62</v>
      </c>
      <c r="C15" s="163">
        <v>141.9</v>
      </c>
      <c r="D15" s="161"/>
      <c r="E15" s="161"/>
      <c r="F15" s="162">
        <f>C19</f>
        <v>80</v>
      </c>
      <c r="G15" s="167">
        <f>F15/360</f>
        <v>0.22222222222222221</v>
      </c>
      <c r="H15" s="170">
        <f>(C13/C16)</f>
        <v>0.97049999999999992</v>
      </c>
      <c r="I15" s="171">
        <f>(H15)^-(1/G15)-1</f>
        <v>0.14424776085050151</v>
      </c>
      <c r="J15" s="176">
        <f>H15</f>
        <v>0.97049999999999992</v>
      </c>
      <c r="K15" s="171">
        <f>((1+I15)*((1+I15)/(1+I14))^(G14/(G15-G14)))-1</f>
        <v>0.14424776085050151</v>
      </c>
    </row>
    <row r="16" spans="2:11" ht="18" x14ac:dyDescent="0.35">
      <c r="B16" s="162" t="s">
        <v>20</v>
      </c>
      <c r="C16" s="163">
        <v>100</v>
      </c>
      <c r="D16" s="161"/>
      <c r="E16" s="161"/>
      <c r="F16" s="162">
        <f>C20</f>
        <v>180</v>
      </c>
      <c r="G16" s="167">
        <f t="shared" ref="G16:G17" si="0">F16/360</f>
        <v>0.5</v>
      </c>
      <c r="H16" s="170">
        <f>(C14/C17)</f>
        <v>0.92740740740740746</v>
      </c>
      <c r="I16" s="171">
        <f>(H16)^-(1/G16)-1</f>
        <v>0.16267645887984972</v>
      </c>
      <c r="J16" s="176">
        <f>H16/H15</f>
        <v>0.9555975346804817</v>
      </c>
      <c r="K16" s="172">
        <f>((1+I16)*((1+I16)/(1+I15))^(G15/(G16-G15)))-1</f>
        <v>0.17763288758319651</v>
      </c>
    </row>
    <row r="17" spans="2:12" ht="18" x14ac:dyDescent="0.35">
      <c r="B17" s="162" t="s">
        <v>21</v>
      </c>
      <c r="C17" s="163">
        <v>135</v>
      </c>
      <c r="D17" s="161"/>
      <c r="E17" s="161"/>
      <c r="F17" s="173">
        <f>C21</f>
        <v>360</v>
      </c>
      <c r="G17" s="167">
        <f t="shared" si="0"/>
        <v>1</v>
      </c>
      <c r="H17" s="174">
        <f>(C15/C18)</f>
        <v>0.83470588235294119</v>
      </c>
      <c r="I17" s="171">
        <f>(H17)^-(1/G17)-1</f>
        <v>0.19802677942212821</v>
      </c>
      <c r="J17" s="176">
        <f>H17/H16</f>
        <v>0.90004228528472086</v>
      </c>
      <c r="K17" s="171">
        <f>((1+I17)*((1+I17)/(1+I16))^(G16/(G17-G16)))-1</f>
        <v>0.23445190039826591</v>
      </c>
    </row>
    <row r="18" spans="2:12" ht="18" x14ac:dyDescent="0.35">
      <c r="B18" s="162" t="s">
        <v>22</v>
      </c>
      <c r="C18" s="163">
        <v>170</v>
      </c>
      <c r="D18" s="161"/>
      <c r="E18" s="161"/>
      <c r="F18" s="161"/>
      <c r="G18" s="161"/>
      <c r="H18" s="175"/>
      <c r="I18" s="161"/>
      <c r="J18" s="161"/>
      <c r="K18" s="161"/>
    </row>
    <row r="19" spans="2:12" ht="18" x14ac:dyDescent="0.35">
      <c r="B19" s="162" t="s">
        <v>25</v>
      </c>
      <c r="C19" s="163">
        <v>80</v>
      </c>
      <c r="D19" s="161" t="s">
        <v>63</v>
      </c>
      <c r="E19" s="161"/>
      <c r="F19" s="161"/>
      <c r="G19" s="161"/>
      <c r="H19" s="161"/>
      <c r="I19" s="161"/>
      <c r="J19" s="161"/>
      <c r="K19" s="161"/>
      <c r="L19" s="161"/>
    </row>
    <row r="20" spans="2:12" ht="18" x14ac:dyDescent="0.35">
      <c r="B20" s="162" t="s">
        <v>27</v>
      </c>
      <c r="C20" s="163">
        <v>180</v>
      </c>
      <c r="D20" s="161" t="s">
        <v>63</v>
      </c>
      <c r="E20" s="161"/>
      <c r="F20" s="161"/>
      <c r="G20" s="161"/>
      <c r="H20" s="161"/>
      <c r="I20" s="161"/>
      <c r="J20" s="161"/>
      <c r="K20" s="161"/>
      <c r="L20" s="161"/>
    </row>
    <row r="21" spans="2:12" ht="18" x14ac:dyDescent="0.35">
      <c r="B21" s="162" t="s">
        <v>29</v>
      </c>
      <c r="C21" s="163">
        <v>360</v>
      </c>
      <c r="D21" s="161" t="s">
        <v>63</v>
      </c>
      <c r="E21" s="161"/>
      <c r="F21" s="161"/>
      <c r="G21" s="161"/>
      <c r="H21" s="161"/>
      <c r="I21" s="161"/>
      <c r="J21" s="161"/>
      <c r="K21" s="161"/>
      <c r="L21" s="161"/>
    </row>
  </sheetData>
  <mergeCells count="1">
    <mergeCell ref="B12:C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19</vt:i4>
      </vt:variant>
    </vt:vector>
  </HeadingPairs>
  <TitlesOfParts>
    <vt:vector size="19" baseType="lpstr">
      <vt:lpstr>ST_ES1</vt:lpstr>
      <vt:lpstr>ST_ES2</vt:lpstr>
      <vt:lpstr>ST_ES3</vt:lpstr>
      <vt:lpstr>ST_ES4</vt:lpstr>
      <vt:lpstr>ST_ES5</vt:lpstr>
      <vt:lpstr>ST_ES6</vt:lpstr>
      <vt:lpstr>ST_ES7</vt:lpstr>
      <vt:lpstr>ST_ES8</vt:lpstr>
      <vt:lpstr>ST_ES9</vt:lpstr>
      <vt:lpstr>ST_ES10</vt:lpstr>
      <vt:lpstr>ST_ES11</vt:lpstr>
      <vt:lpstr>ST_ES12</vt:lpstr>
      <vt:lpstr>ST_ES13</vt:lpstr>
      <vt:lpstr>ST_ES14</vt:lpstr>
      <vt:lpstr>ST_ES15</vt:lpstr>
      <vt:lpstr>ST_ES16</vt:lpstr>
      <vt:lpstr>ST_ES17</vt:lpstr>
      <vt:lpstr>ST_ES18</vt:lpstr>
      <vt:lpstr>Foglio4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prometeo</dc:creator>
  <cp:lastModifiedBy>Zelda Marino</cp:lastModifiedBy>
  <dcterms:created xsi:type="dcterms:W3CDTF">2015-10-13T13:28:44Z</dcterms:created>
  <dcterms:modified xsi:type="dcterms:W3CDTF">2020-10-21T16:32:47Z</dcterms:modified>
</cp:coreProperties>
</file>