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zelda\ownCloud\DOC_SINC\DIDATTICA\FINANZIARIA\EA\ESERCIZI\"/>
    </mc:Choice>
  </mc:AlternateContent>
  <bookViews>
    <workbookView xWindow="0" yWindow="0" windowWidth="15360" windowHeight="7755" activeTab="8"/>
  </bookViews>
  <sheets>
    <sheet name="ESE1" sheetId="61" r:id="rId1"/>
    <sheet name="ESE2" sheetId="62" r:id="rId2"/>
    <sheet name="ESE3" sheetId="63" r:id="rId3"/>
    <sheet name="ESE4" sheetId="64" r:id="rId4"/>
    <sheet name="ESE5" sheetId="65" r:id="rId5"/>
    <sheet name="ESE6" sheetId="66" r:id="rId6"/>
    <sheet name="Es1" sheetId="8" r:id="rId7"/>
    <sheet name="Es2" sheetId="22" r:id="rId8"/>
    <sheet name="Es3" sheetId="18" r:id="rId9"/>
    <sheet name="Es4" sheetId="19" r:id="rId10"/>
    <sheet name="Es5" sheetId="20" r:id="rId11"/>
    <sheet name="Es6" sheetId="5" r:id="rId12"/>
    <sheet name="Es7" sheetId="6" r:id="rId13"/>
    <sheet name="Es8" sheetId="7" r:id="rId14"/>
    <sheet name="Es10" sheetId="9" r:id="rId15"/>
    <sheet name="Es11" sheetId="10" r:id="rId16"/>
    <sheet name="Es12" sheetId="28" r:id="rId17"/>
    <sheet name="Es13" sheetId="52" r:id="rId18"/>
    <sheet name="Es14" sheetId="32" r:id="rId19"/>
    <sheet name="Es15" sheetId="49" r:id="rId20"/>
    <sheet name="Es16" sheetId="51" r:id="rId21"/>
    <sheet name="Es17" sheetId="50" r:id="rId22"/>
    <sheet name="Es19" sheetId="47" r:id="rId23"/>
    <sheet name="Es20" sheetId="38" r:id="rId24"/>
    <sheet name="Es22" sheetId="40" r:id="rId25"/>
    <sheet name="Es23" sheetId="41" r:id="rId26"/>
    <sheet name="Es24" sheetId="42" r:id="rId27"/>
    <sheet name="Es27" sheetId="58" r:id="rId28"/>
    <sheet name="Es28" sheetId="59" r:id="rId29"/>
    <sheet name="Es29" sheetId="60" r:id="rId30"/>
  </sheets>
  <calcPr calcId="162913"/>
</workbook>
</file>

<file path=xl/calcChain.xml><?xml version="1.0" encoding="utf-8"?>
<calcChain xmlns="http://schemas.openxmlformats.org/spreadsheetml/2006/main">
  <c r="D33" i="8" l="1"/>
  <c r="D32" i="8"/>
  <c r="D29" i="8"/>
  <c r="D28" i="8"/>
  <c r="D27" i="8"/>
  <c r="D31" i="66" l="1"/>
  <c r="D26" i="66"/>
  <c r="D27" i="66" s="1"/>
  <c r="D21" i="65"/>
  <c r="D20" i="65"/>
  <c r="D24" i="64"/>
  <c r="D23" i="64"/>
  <c r="D21" i="64"/>
  <c r="D20" i="64"/>
  <c r="D18" i="64"/>
  <c r="D22" i="63"/>
  <c r="D21" i="63"/>
  <c r="D23" i="63" s="1"/>
  <c r="L47" i="62"/>
  <c r="M47" i="62" s="1"/>
  <c r="M46" i="62"/>
  <c r="L46" i="62"/>
  <c r="L45" i="62"/>
  <c r="M45" i="62" s="1"/>
  <c r="M44" i="62"/>
  <c r="L44" i="62"/>
  <c r="L43" i="62"/>
  <c r="M43" i="62" s="1"/>
  <c r="M42" i="62"/>
  <c r="L42" i="62"/>
  <c r="L41" i="62"/>
  <c r="M41" i="62" s="1"/>
  <c r="I41" i="62"/>
  <c r="H41" i="62"/>
  <c r="L40" i="62"/>
  <c r="M40" i="62" s="1"/>
  <c r="I40" i="62"/>
  <c r="H40" i="62"/>
  <c r="L39" i="62"/>
  <c r="M39" i="62" s="1"/>
  <c r="I39" i="62"/>
  <c r="H39" i="62"/>
  <c r="L38" i="62"/>
  <c r="M38" i="62" s="1"/>
  <c r="I38" i="62"/>
  <c r="H38" i="62"/>
  <c r="L37" i="62"/>
  <c r="M37" i="62" s="1"/>
  <c r="I37" i="62"/>
  <c r="H37" i="62"/>
  <c r="L36" i="62"/>
  <c r="M36" i="62" s="1"/>
  <c r="I36" i="62"/>
  <c r="H36" i="62"/>
  <c r="L35" i="62"/>
  <c r="M35" i="62" s="1"/>
  <c r="I35" i="62"/>
  <c r="H35" i="62"/>
  <c r="L34" i="62"/>
  <c r="M34" i="62" s="1"/>
  <c r="I34" i="62"/>
  <c r="H34" i="62"/>
  <c r="L33" i="62"/>
  <c r="M33" i="62" s="1"/>
  <c r="I33" i="62"/>
  <c r="H33" i="62"/>
  <c r="D33" i="62"/>
  <c r="E33" i="62" s="1"/>
  <c r="M32" i="62"/>
  <c r="L32" i="62"/>
  <c r="H32" i="62"/>
  <c r="I32" i="62" s="1"/>
  <c r="E32" i="62"/>
  <c r="D32" i="62"/>
  <c r="L31" i="62"/>
  <c r="M31" i="62" s="1"/>
  <c r="I31" i="62"/>
  <c r="H31" i="62"/>
  <c r="D31" i="62"/>
  <c r="E31" i="62" s="1"/>
  <c r="M30" i="62"/>
  <c r="L30" i="62"/>
  <c r="H30" i="62"/>
  <c r="I30" i="62" s="1"/>
  <c r="E30" i="62"/>
  <c r="D30" i="62"/>
  <c r="L29" i="62"/>
  <c r="M29" i="62" s="1"/>
  <c r="I29" i="62"/>
  <c r="H29" i="62"/>
  <c r="D29" i="62"/>
  <c r="E29" i="62" s="1"/>
  <c r="M28" i="62"/>
  <c r="L28" i="62"/>
  <c r="H28" i="62"/>
  <c r="I28" i="62" s="1"/>
  <c r="E28" i="62"/>
  <c r="D28" i="62"/>
  <c r="D23" i="61"/>
  <c r="D22" i="61"/>
  <c r="D19" i="61"/>
  <c r="D26" i="61" s="1"/>
  <c r="D16" i="61"/>
  <c r="D24" i="61" s="1"/>
  <c r="L27" i="62" l="1"/>
  <c r="D28" i="61"/>
  <c r="D27" i="61"/>
  <c r="D27" i="62"/>
  <c r="H27" i="62"/>
  <c r="F29" i="58" l="1"/>
  <c r="F25" i="58"/>
  <c r="F22" i="58"/>
  <c r="F19" i="58"/>
  <c r="C33" i="60" l="1"/>
  <c r="C32" i="60"/>
  <c r="C39" i="60"/>
  <c r="C40" i="60"/>
  <c r="C29" i="60"/>
  <c r="C28" i="60"/>
  <c r="C26" i="60"/>
  <c r="C27" i="60" s="1"/>
  <c r="C24" i="60"/>
  <c r="B24" i="60"/>
  <c r="C23" i="60"/>
  <c r="B23" i="60"/>
  <c r="C21" i="60"/>
  <c r="G32" i="59"/>
  <c r="G33" i="59"/>
  <c r="G34" i="59"/>
  <c r="G35" i="59"/>
  <c r="G31" i="59"/>
  <c r="G21" i="59"/>
  <c r="G22" i="59"/>
  <c r="G23" i="59"/>
  <c r="G24" i="59"/>
  <c r="G20" i="59"/>
  <c r="F21" i="59"/>
  <c r="F22" i="59"/>
  <c r="F23" i="59"/>
  <c r="F24" i="59"/>
  <c r="F20" i="59"/>
  <c r="F32" i="59"/>
  <c r="F33" i="59"/>
  <c r="F34" i="59"/>
  <c r="F35" i="59"/>
  <c r="F31" i="59"/>
  <c r="C32" i="59"/>
  <c r="C33" i="59" s="1"/>
  <c r="C34" i="59" s="1"/>
  <c r="C35" i="59" s="1"/>
  <c r="C31" i="59"/>
  <c r="D31" i="59" s="1"/>
  <c r="E31" i="59" s="1"/>
  <c r="E20" i="59"/>
  <c r="D20" i="59"/>
  <c r="C21" i="59"/>
  <c r="D21" i="59" s="1"/>
  <c r="E21" i="59" s="1"/>
  <c r="C20" i="59"/>
  <c r="C29" i="58"/>
  <c r="C25" i="58"/>
  <c r="C22" i="58"/>
  <c r="C19" i="58"/>
  <c r="C35" i="60" l="1"/>
  <c r="C37" i="60"/>
  <c r="C36" i="60"/>
  <c r="C31" i="60"/>
  <c r="C22" i="59"/>
  <c r="C37" i="52"/>
  <c r="C33" i="52"/>
  <c r="C30" i="52"/>
  <c r="C31" i="52" s="1"/>
  <c r="D11" i="22"/>
  <c r="D18" i="22" s="1"/>
  <c r="D32" i="59" l="1"/>
  <c r="E32" i="59" s="1"/>
  <c r="C23" i="59"/>
  <c r="D22" i="59"/>
  <c r="E22" i="59" s="1"/>
  <c r="D23" i="22"/>
  <c r="D22" i="22"/>
  <c r="D17" i="22"/>
  <c r="C13" i="42"/>
  <c r="C12" i="42"/>
  <c r="C38" i="42" s="1"/>
  <c r="C34" i="41"/>
  <c r="C37" i="41" s="1"/>
  <c r="C29" i="47"/>
  <c r="C26" i="47"/>
  <c r="C30" i="47" s="1"/>
  <c r="C31" i="47" s="1"/>
  <c r="C40" i="47" s="1"/>
  <c r="C41" i="47" s="1"/>
  <c r="J67" i="32"/>
  <c r="J68" i="32"/>
  <c r="J69" i="32"/>
  <c r="J70" i="32"/>
  <c r="J71" i="32"/>
  <c r="J72" i="32"/>
  <c r="J73" i="32"/>
  <c r="J74" i="32"/>
  <c r="J75" i="32"/>
  <c r="J76" i="32"/>
  <c r="J66" i="32"/>
  <c r="J59" i="32"/>
  <c r="J55" i="32"/>
  <c r="J56" i="32"/>
  <c r="J57" i="32"/>
  <c r="J58" i="32"/>
  <c r="J54" i="32"/>
  <c r="J50" i="32"/>
  <c r="J51" i="32"/>
  <c r="J52" i="32"/>
  <c r="J53" i="32"/>
  <c r="J49" i="32"/>
  <c r="I76" i="32"/>
  <c r="I75" i="32"/>
  <c r="K75" i="32" s="1"/>
  <c r="I74" i="32"/>
  <c r="I73" i="32"/>
  <c r="I72" i="32"/>
  <c r="I71" i="32"/>
  <c r="I70" i="32"/>
  <c r="I69" i="32"/>
  <c r="I68" i="32"/>
  <c r="K67" i="32"/>
  <c r="I67" i="32"/>
  <c r="I59" i="32"/>
  <c r="I58" i="32"/>
  <c r="K57" i="32"/>
  <c r="I57" i="32"/>
  <c r="I56" i="32"/>
  <c r="I55" i="32"/>
  <c r="K55" i="32" s="1"/>
  <c r="I54" i="32"/>
  <c r="I53" i="32"/>
  <c r="I52" i="32"/>
  <c r="I51" i="32"/>
  <c r="K51" i="32" s="1"/>
  <c r="I50" i="32"/>
  <c r="K50" i="32" s="1"/>
  <c r="D67" i="32"/>
  <c r="D68" i="32"/>
  <c r="D69" i="32"/>
  <c r="D70" i="32"/>
  <c r="D71" i="32"/>
  <c r="D72" i="32"/>
  <c r="D73" i="32"/>
  <c r="D74" i="32"/>
  <c r="D75" i="32"/>
  <c r="D76" i="32"/>
  <c r="D66" i="32"/>
  <c r="C76" i="32"/>
  <c r="E76" i="32" s="1"/>
  <c r="D49" i="32"/>
  <c r="D51" i="32"/>
  <c r="D52" i="32"/>
  <c r="D53" i="32"/>
  <c r="D54" i="32"/>
  <c r="D55" i="32"/>
  <c r="D56" i="32"/>
  <c r="D57" i="32"/>
  <c r="D58" i="32"/>
  <c r="D59" i="32"/>
  <c r="D50" i="32"/>
  <c r="D33" i="59" l="1"/>
  <c r="E33" i="59" s="1"/>
  <c r="C24" i="59"/>
  <c r="D24" i="59" s="1"/>
  <c r="E24" i="59" s="1"/>
  <c r="D23" i="59"/>
  <c r="E23" i="59" s="1"/>
  <c r="K68" i="32"/>
  <c r="K72" i="32"/>
  <c r="K76" i="32"/>
  <c r="C35" i="41"/>
  <c r="C39" i="41" s="1"/>
  <c r="C34" i="47"/>
  <c r="K69" i="32"/>
  <c r="K73" i="32"/>
  <c r="K52" i="32"/>
  <c r="K53" i="32"/>
  <c r="K70" i="32"/>
  <c r="K71" i="32"/>
  <c r="K58" i="32"/>
  <c r="K59" i="32"/>
  <c r="K74" i="32"/>
  <c r="C36" i="41"/>
  <c r="C38" i="41" s="1"/>
  <c r="K54" i="32"/>
  <c r="C23" i="42"/>
  <c r="K56" i="32"/>
  <c r="C59" i="32"/>
  <c r="E59" i="32" s="1"/>
  <c r="C75" i="32"/>
  <c r="E75" i="32" s="1"/>
  <c r="C74" i="32"/>
  <c r="E74" i="32" s="1"/>
  <c r="C73" i="32"/>
  <c r="E73" i="32" s="1"/>
  <c r="C72" i="32"/>
  <c r="E72" i="32" s="1"/>
  <c r="C71" i="32"/>
  <c r="E71" i="32" s="1"/>
  <c r="C70" i="32"/>
  <c r="E70" i="32" s="1"/>
  <c r="C69" i="32"/>
  <c r="E69" i="32" s="1"/>
  <c r="C68" i="32"/>
  <c r="E68" i="32" s="1"/>
  <c r="C67" i="32"/>
  <c r="E67" i="32" s="1"/>
  <c r="C58" i="32"/>
  <c r="E58" i="32" s="1"/>
  <c r="C57" i="32"/>
  <c r="E57" i="32" s="1"/>
  <c r="C56" i="32"/>
  <c r="E56" i="32" s="1"/>
  <c r="C55" i="32"/>
  <c r="E55" i="32" s="1"/>
  <c r="C54" i="32"/>
  <c r="E54" i="32" s="1"/>
  <c r="C53" i="32"/>
  <c r="E53" i="32" s="1"/>
  <c r="C52" i="32"/>
  <c r="E52" i="32" s="1"/>
  <c r="C51" i="32"/>
  <c r="E51" i="32" s="1"/>
  <c r="C50" i="32"/>
  <c r="E50" i="32" s="1"/>
  <c r="C11" i="40"/>
  <c r="C26" i="40" s="1"/>
  <c r="C10" i="40"/>
  <c r="C20" i="40" s="1"/>
  <c r="C14" i="38"/>
  <c r="C11" i="38"/>
  <c r="C54" i="50"/>
  <c r="C55" i="50" s="1"/>
  <c r="C45" i="50"/>
  <c r="C60" i="50" s="1"/>
  <c r="C38" i="50"/>
  <c r="C43" i="50" s="1"/>
  <c r="C44" i="50" s="1"/>
  <c r="C18" i="51"/>
  <c r="C29" i="51" s="1"/>
  <c r="C17" i="51"/>
  <c r="C25" i="51" s="1"/>
  <c r="C28" i="51" s="1"/>
  <c r="C16" i="51"/>
  <c r="C14" i="49"/>
  <c r="C17" i="49" s="1"/>
  <c r="I43" i="32"/>
  <c r="J35" i="32"/>
  <c r="J36" i="32"/>
  <c r="J37" i="32"/>
  <c r="J38" i="32"/>
  <c r="J39" i="32"/>
  <c r="J40" i="32"/>
  <c r="J41" i="32"/>
  <c r="J42" i="32"/>
  <c r="J43" i="32"/>
  <c r="J34" i="32"/>
  <c r="I42" i="32"/>
  <c r="I41" i="32"/>
  <c r="I40" i="32"/>
  <c r="I39" i="32"/>
  <c r="I38" i="32"/>
  <c r="I37" i="32"/>
  <c r="I36" i="32"/>
  <c r="I35" i="32"/>
  <c r="I34" i="32"/>
  <c r="D35" i="32"/>
  <c r="D36" i="32"/>
  <c r="D37" i="32"/>
  <c r="D38" i="32"/>
  <c r="D39" i="32"/>
  <c r="D40" i="32"/>
  <c r="D41" i="32"/>
  <c r="E41" i="32" s="1"/>
  <c r="D42" i="32"/>
  <c r="D43" i="32"/>
  <c r="D34" i="32"/>
  <c r="C43" i="32"/>
  <c r="C35" i="32"/>
  <c r="C36" i="32"/>
  <c r="C37" i="32"/>
  <c r="C38" i="32"/>
  <c r="C39" i="32"/>
  <c r="C40" i="32"/>
  <c r="C41" i="32"/>
  <c r="C42" i="32"/>
  <c r="C34" i="32"/>
  <c r="N23" i="28"/>
  <c r="O23" i="28" s="1"/>
  <c r="N24" i="28"/>
  <c r="N25" i="28"/>
  <c r="P25" i="28" s="1"/>
  <c r="N26" i="28"/>
  <c r="P26" i="28" s="1"/>
  <c r="N27" i="28"/>
  <c r="N28" i="28"/>
  <c r="N29" i="28"/>
  <c r="P29" i="28" s="1"/>
  <c r="N30" i="28"/>
  <c r="P30" i="28" s="1"/>
  <c r="N31" i="28"/>
  <c r="O31" i="28" s="1"/>
  <c r="N32" i="28"/>
  <c r="N33" i="28"/>
  <c r="O33" i="28" s="1"/>
  <c r="N34" i="28"/>
  <c r="O34" i="28" s="1"/>
  <c r="N35" i="28"/>
  <c r="O35" i="28" s="1"/>
  <c r="N36" i="28"/>
  <c r="N22" i="28"/>
  <c r="P22" i="28" s="1"/>
  <c r="K23" i="28"/>
  <c r="K24" i="28"/>
  <c r="M24" i="28" s="1"/>
  <c r="K25" i="28"/>
  <c r="M25" i="28" s="1"/>
  <c r="K26" i="28"/>
  <c r="K27" i="28"/>
  <c r="K28" i="28"/>
  <c r="M28" i="28" s="1"/>
  <c r="K29" i="28"/>
  <c r="L29" i="28" s="1"/>
  <c r="K30" i="28"/>
  <c r="K31" i="28"/>
  <c r="K32" i="28"/>
  <c r="M32" i="28" s="1"/>
  <c r="K33" i="28"/>
  <c r="M33" i="28" s="1"/>
  <c r="K34" i="28"/>
  <c r="K35" i="28"/>
  <c r="K36" i="28"/>
  <c r="M36" i="28" s="1"/>
  <c r="K22" i="28"/>
  <c r="L22" i="28" s="1"/>
  <c r="J28" i="28"/>
  <c r="J36" i="28"/>
  <c r="I29" i="28"/>
  <c r="I22" i="28"/>
  <c r="E26" i="28"/>
  <c r="O30" i="28" s="1"/>
  <c r="D26" i="28"/>
  <c r="L28" i="28" s="1"/>
  <c r="C26" i="28"/>
  <c r="J25" i="28" s="1"/>
  <c r="D36" i="10"/>
  <c r="D32" i="10"/>
  <c r="D27" i="10"/>
  <c r="D26" i="10"/>
  <c r="D35" i="10" s="1"/>
  <c r="D23" i="10"/>
  <c r="D31" i="10" s="1"/>
  <c r="D22" i="10"/>
  <c r="D30" i="10" s="1"/>
  <c r="D19" i="10"/>
  <c r="C32" i="9"/>
  <c r="C31" i="9"/>
  <c r="C36" i="9" s="1"/>
  <c r="D24" i="8"/>
  <c r="D23" i="8"/>
  <c r="D20" i="8"/>
  <c r="D19" i="8"/>
  <c r="C45" i="7"/>
  <c r="C46" i="7" s="1"/>
  <c r="C42" i="7"/>
  <c r="C41" i="7"/>
  <c r="C40" i="7"/>
  <c r="C49" i="7" s="1"/>
  <c r="C37" i="6"/>
  <c r="C38" i="6" s="1"/>
  <c r="C33" i="6"/>
  <c r="C34" i="6" s="1"/>
  <c r="C37" i="5"/>
  <c r="C38" i="5" s="1"/>
  <c r="C33" i="5"/>
  <c r="C34" i="5" s="1"/>
  <c r="C29" i="20"/>
  <c r="C32" i="20" s="1"/>
  <c r="C33" i="20" s="1"/>
  <c r="C34" i="20" s="1"/>
  <c r="C36" i="20" s="1"/>
  <c r="C30" i="19"/>
  <c r="C47" i="19" s="1"/>
  <c r="C48" i="19" s="1"/>
  <c r="C30" i="18"/>
  <c r="C33" i="18" s="1"/>
  <c r="D34" i="59" l="1"/>
  <c r="E34" i="59" s="1"/>
  <c r="D35" i="59"/>
  <c r="E35" i="59" s="1"/>
  <c r="I33" i="28"/>
  <c r="J32" i="28"/>
  <c r="L33" i="28"/>
  <c r="L25" i="28"/>
  <c r="O22" i="28"/>
  <c r="O26" i="28"/>
  <c r="P34" i="28"/>
  <c r="K43" i="32"/>
  <c r="C18" i="38"/>
  <c r="C19" i="38" s="1"/>
  <c r="C40" i="6"/>
  <c r="L35" i="28"/>
  <c r="L31" i="28"/>
  <c r="L27" i="28"/>
  <c r="L23" i="28"/>
  <c r="L30" i="28"/>
  <c r="M22" i="28"/>
  <c r="M29" i="28"/>
  <c r="O25" i="28"/>
  <c r="P33" i="28"/>
  <c r="C42" i="6"/>
  <c r="C37" i="9"/>
  <c r="C38" i="9" s="1"/>
  <c r="C47" i="9" s="1"/>
  <c r="C48" i="9" s="1"/>
  <c r="I25" i="28"/>
  <c r="J24" i="28"/>
  <c r="M34" i="28"/>
  <c r="M30" i="28"/>
  <c r="M26" i="28"/>
  <c r="O36" i="28"/>
  <c r="O32" i="28"/>
  <c r="O28" i="28"/>
  <c r="O24" i="28"/>
  <c r="O29" i="28"/>
  <c r="K38" i="32"/>
  <c r="K42" i="32"/>
  <c r="L34" i="28"/>
  <c r="L26" i="28"/>
  <c r="P35" i="28"/>
  <c r="P31" i="28"/>
  <c r="P27" i="28"/>
  <c r="P23" i="28"/>
  <c r="O27" i="28"/>
  <c r="C36" i="47"/>
  <c r="C37" i="47" s="1"/>
  <c r="C35" i="47"/>
  <c r="K36" i="32"/>
  <c r="E34" i="32"/>
  <c r="E42" i="32"/>
  <c r="E38" i="32"/>
  <c r="E37" i="32"/>
  <c r="K35" i="32"/>
  <c r="K39" i="32"/>
  <c r="K41" i="32"/>
  <c r="E40" i="32"/>
  <c r="E36" i="32"/>
  <c r="K40" i="32"/>
  <c r="K34" i="32"/>
  <c r="E43" i="32"/>
  <c r="E39" i="32"/>
  <c r="E33" i="32" s="1"/>
  <c r="E35" i="32"/>
  <c r="K37" i="32"/>
  <c r="C41" i="9"/>
  <c r="C34" i="18"/>
  <c r="C35" i="18"/>
  <c r="C37" i="18" s="1"/>
  <c r="C50" i="50"/>
  <c r="C51" i="50" s="1"/>
  <c r="C56" i="50"/>
  <c r="C57" i="50" s="1"/>
  <c r="C61" i="50"/>
  <c r="C40" i="5"/>
  <c r="C42" i="5"/>
  <c r="I36" i="28"/>
  <c r="I28" i="28"/>
  <c r="J35" i="28"/>
  <c r="J27" i="28"/>
  <c r="C26" i="51"/>
  <c r="I31" i="28"/>
  <c r="I23" i="28"/>
  <c r="J26" i="28"/>
  <c r="L32" i="28"/>
  <c r="L24" i="28"/>
  <c r="M27" i="28"/>
  <c r="P32" i="28"/>
  <c r="P28" i="28"/>
  <c r="I32" i="28"/>
  <c r="I24" i="28"/>
  <c r="J31" i="28"/>
  <c r="J23" i="28"/>
  <c r="C25" i="42"/>
  <c r="C24" i="42"/>
  <c r="C26" i="42" s="1"/>
  <c r="I35" i="28"/>
  <c r="I27" i="28"/>
  <c r="J34" i="28"/>
  <c r="J30" i="28"/>
  <c r="L36" i="28"/>
  <c r="M35" i="28"/>
  <c r="M31" i="28"/>
  <c r="M23" i="28"/>
  <c r="P36" i="28"/>
  <c r="P24" i="28"/>
  <c r="C15" i="38"/>
  <c r="C46" i="20"/>
  <c r="C47" i="20" s="1"/>
  <c r="I34" i="28"/>
  <c r="I30" i="28"/>
  <c r="I26" i="28"/>
  <c r="J22" i="28"/>
  <c r="J33" i="28"/>
  <c r="J29" i="28"/>
  <c r="C48" i="50"/>
  <c r="C49" i="50" s="1"/>
  <c r="K33" i="32"/>
  <c r="C35" i="20"/>
  <c r="C39" i="20"/>
  <c r="C36" i="19"/>
  <c r="C33" i="19"/>
  <c r="C34" i="19" s="1"/>
  <c r="C35" i="19" s="1"/>
  <c r="C37" i="19" s="1"/>
  <c r="C40" i="19"/>
  <c r="I49" i="32" l="1"/>
  <c r="K49" i="32" s="1"/>
  <c r="K60" i="32" s="1"/>
  <c r="I66" i="32"/>
  <c r="K66" i="32" s="1"/>
  <c r="K77" i="32" s="1"/>
  <c r="C40" i="18"/>
  <c r="C41" i="18" s="1"/>
  <c r="C36" i="18"/>
  <c r="C47" i="18"/>
  <c r="C48" i="18" s="1"/>
  <c r="C43" i="9"/>
  <c r="C44" i="9" s="1"/>
  <c r="C42" i="9"/>
  <c r="C66" i="32"/>
  <c r="E66" i="32" s="1"/>
  <c r="E77" i="32" s="1"/>
  <c r="C49" i="32"/>
  <c r="E49" i="32" s="1"/>
  <c r="E60" i="32" s="1"/>
  <c r="C40" i="20"/>
  <c r="C41" i="20"/>
  <c r="C42" i="20" s="1"/>
  <c r="C41" i="19"/>
  <c r="C42" i="19"/>
  <c r="C43" i="19" s="1"/>
  <c r="C42" i="18"/>
  <c r="C43" i="18" s="1"/>
</calcChain>
</file>

<file path=xl/sharedStrings.xml><?xml version="1.0" encoding="utf-8"?>
<sst xmlns="http://schemas.openxmlformats.org/spreadsheetml/2006/main" count="542" uniqueCount="207">
  <si>
    <t>Dati in Input</t>
    <phoneticPr fontId="3" type="noConversion"/>
  </si>
  <si>
    <t>Nuove Unita' Temporali</t>
    <phoneticPr fontId="3" type="noConversion"/>
  </si>
  <si>
    <t>Tassi Equivalenti</t>
    <phoneticPr fontId="3" type="noConversion"/>
  </si>
  <si>
    <t>gg anno</t>
    <phoneticPr fontId="3" type="noConversion"/>
  </si>
  <si>
    <t>Giorni (t)</t>
    <phoneticPr fontId="3" type="noConversion"/>
  </si>
  <si>
    <t>LE</t>
    <phoneticPr fontId="3" type="noConversion"/>
  </si>
  <si>
    <t>LL</t>
    <phoneticPr fontId="3" type="noConversion"/>
  </si>
  <si>
    <t>Mesi (t)</t>
    <phoneticPr fontId="3" type="noConversion"/>
  </si>
  <si>
    <t>Anni (t)</t>
    <phoneticPr fontId="3" type="noConversion"/>
  </si>
  <si>
    <t>gg mese</t>
    <phoneticPr fontId="3" type="noConversion"/>
  </si>
  <si>
    <r>
      <t>i</t>
    </r>
    <r>
      <rPr>
        <b/>
        <i/>
        <vertAlign val="subscript"/>
        <sz val="14"/>
        <rFont val="Calibri"/>
        <family val="2"/>
      </rPr>
      <t>1/4</t>
    </r>
  </si>
  <si>
    <t>dati input</t>
  </si>
  <si>
    <t>t</t>
  </si>
  <si>
    <t>giorni</t>
  </si>
  <si>
    <t>W(0)</t>
  </si>
  <si>
    <t xml:space="preserve">tasso </t>
  </si>
  <si>
    <t>convenzione anno</t>
  </si>
  <si>
    <t>x1</t>
  </si>
  <si>
    <t>Interesse</t>
  </si>
  <si>
    <t>intensità interesse</t>
  </si>
  <si>
    <t>giorni-1</t>
  </si>
  <si>
    <t>intensità sconto</t>
  </si>
  <si>
    <t>Legge Esponenziale</t>
  </si>
  <si>
    <t>tasso annuo</t>
  </si>
  <si>
    <t>intensità istantanea</t>
  </si>
  <si>
    <t>anni-1</t>
  </si>
  <si>
    <t>tasso semestrale</t>
  </si>
  <si>
    <t>semestri-1</t>
  </si>
  <si>
    <t>tasso sconto</t>
  </si>
  <si>
    <t>Legge lineare</t>
  </si>
  <si>
    <t>W(7)</t>
  </si>
  <si>
    <t>x0</t>
  </si>
  <si>
    <t>W(t)</t>
  </si>
  <si>
    <t>tasso interesse</t>
  </si>
  <si>
    <t>t0</t>
  </si>
  <si>
    <t>t1</t>
  </si>
  <si>
    <t>mesi</t>
  </si>
  <si>
    <t>Legge esponenziale</t>
  </si>
  <si>
    <t>t3</t>
  </si>
  <si>
    <t>x3</t>
  </si>
  <si>
    <t>t2</t>
  </si>
  <si>
    <t>x2</t>
  </si>
  <si>
    <t>o anche</t>
  </si>
  <si>
    <t>convenzione mese</t>
  </si>
  <si>
    <t>legge esponenziale</t>
  </si>
  <si>
    <t>legge lineare</t>
  </si>
  <si>
    <t>tasso mensile</t>
  </si>
  <si>
    <t>W(t0)</t>
  </si>
  <si>
    <t>anni</t>
  </si>
  <si>
    <t>LE</t>
  </si>
  <si>
    <t>intensuità istantanea</t>
  </si>
  <si>
    <t>LL</t>
  </si>
  <si>
    <t>W(t1)</t>
  </si>
  <si>
    <t>a</t>
  </si>
  <si>
    <t>b</t>
  </si>
  <si>
    <t>c</t>
  </si>
  <si>
    <t>d</t>
  </si>
  <si>
    <t>a)</t>
  </si>
  <si>
    <t>b)</t>
  </si>
  <si>
    <t>c)</t>
  </si>
  <si>
    <t>d)</t>
  </si>
  <si>
    <t>e)</t>
  </si>
  <si>
    <t>ritenuta fiscale</t>
  </si>
  <si>
    <t>convenzioni anno</t>
  </si>
  <si>
    <t>Interesse lordo</t>
  </si>
  <si>
    <t>prezzo acquisto netto</t>
  </si>
  <si>
    <t>interesse netto</t>
  </si>
  <si>
    <t>TSC</t>
  </si>
  <si>
    <t>I</t>
  </si>
  <si>
    <t>Legge Lineare</t>
  </si>
  <si>
    <t>m</t>
  </si>
  <si>
    <t>gg</t>
  </si>
  <si>
    <t>1 trimestre</t>
  </si>
  <si>
    <t>s</t>
  </si>
  <si>
    <t>C</t>
  </si>
  <si>
    <t>i</t>
  </si>
  <si>
    <t>Anni</t>
  </si>
  <si>
    <t>Flussi</t>
  </si>
  <si>
    <t>fattori di sconto</t>
  </si>
  <si>
    <t>Valore attuale</t>
  </si>
  <si>
    <t>i semplice</t>
  </si>
  <si>
    <t>i composto</t>
  </si>
  <si>
    <t>T.I.R.</t>
  </si>
  <si>
    <t>Conviene la banca A poiché a parità di interessi pagati,
l'operazione ha una durata maggiore</t>
  </si>
  <si>
    <t>ts</t>
  </si>
  <si>
    <t>BOT</t>
  </si>
  <si>
    <t>P</t>
  </si>
  <si>
    <t>aliquota</t>
  </si>
  <si>
    <t>tasso interesse lordo</t>
  </si>
  <si>
    <t>intensità lorda</t>
  </si>
  <si>
    <t>tasso interesse netto</t>
  </si>
  <si>
    <t>intensità netta</t>
  </si>
  <si>
    <t>tasso annuo lordo</t>
  </si>
  <si>
    <t>tasso annuo netto</t>
  </si>
  <si>
    <t>prezzo netto</t>
  </si>
  <si>
    <t>interesse lordo</t>
  </si>
  <si>
    <t>M</t>
  </si>
  <si>
    <t>2C</t>
  </si>
  <si>
    <t>i annuo</t>
  </si>
  <si>
    <t>s1</t>
  </si>
  <si>
    <t>s2</t>
  </si>
  <si>
    <t>h(0,0.5)</t>
  </si>
  <si>
    <t xml:space="preserve">da cui </t>
  </si>
  <si>
    <t>fattori montante/sconto in t=2</t>
  </si>
  <si>
    <t>Valore flusso in 2</t>
  </si>
  <si>
    <t>valore in 2</t>
  </si>
  <si>
    <t>fattori montante/sconto in t=5</t>
  </si>
  <si>
    <t>Valore flusso in 5</t>
  </si>
  <si>
    <t>valore in 5</t>
  </si>
  <si>
    <t xml:space="preserve">tasso annuo </t>
  </si>
  <si>
    <t xml:space="preserve">intensità </t>
  </si>
  <si>
    <t>intensità</t>
  </si>
  <si>
    <t>risulta</t>
  </si>
  <si>
    <t>nel caso in esame è t=0, quindi:</t>
  </si>
  <si>
    <t>quindi</t>
  </si>
  <si>
    <t>m(0,1)</t>
  </si>
  <si>
    <t>v(0,1)</t>
  </si>
  <si>
    <t>d(0,1)</t>
  </si>
  <si>
    <t>α(0,1)</t>
  </si>
  <si>
    <t>g(0,1)</t>
  </si>
  <si>
    <t>h(0,1)</t>
  </si>
  <si>
    <t>risulta:</t>
  </si>
  <si>
    <t>per quanto riguarda l'intensità istantanea, risulta:</t>
  </si>
  <si>
    <t>nel caso in esempio si ha:</t>
  </si>
  <si>
    <t>v(0,1/2)</t>
  </si>
  <si>
    <t>m(0,1/2)</t>
  </si>
  <si>
    <t>d(0,1/2)</t>
  </si>
  <si>
    <t>i(0,1/2)</t>
  </si>
  <si>
    <r>
      <rPr>
        <sz val="14"/>
        <color indexed="8"/>
        <rFont val="Symbol"/>
        <family val="1"/>
        <charset val="2"/>
      </rPr>
      <t>d</t>
    </r>
    <r>
      <rPr>
        <sz val="14"/>
        <color indexed="8"/>
        <rFont val="Calibri"/>
        <family val="2"/>
      </rPr>
      <t>(0,1/2)</t>
    </r>
  </si>
  <si>
    <t>annuo</t>
  </si>
  <si>
    <t>RIC</t>
  </si>
  <si>
    <t>xs2</t>
  </si>
  <si>
    <t>xs1</t>
  </si>
  <si>
    <t>CAPITALIZZAZIONE ESPONENZIALE</t>
  </si>
  <si>
    <t>CAPITALIZZAZIONE LINEARE</t>
  </si>
  <si>
    <t>LE netto ritenuta</t>
  </si>
  <si>
    <t>LL netto ritenuta</t>
  </si>
  <si>
    <t>P=C</t>
  </si>
  <si>
    <t>j</t>
  </si>
  <si>
    <t>cedola</t>
  </si>
  <si>
    <t>trimestrale</t>
  </si>
  <si>
    <t>TIR trimestrale</t>
  </si>
  <si>
    <t>TIR annuo</t>
  </si>
  <si>
    <t>i*</t>
  </si>
  <si>
    <t>L'operazione è equa quindi W=0 e M=-V</t>
  </si>
  <si>
    <t>RIS</t>
  </si>
  <si>
    <t>regime</t>
  </si>
  <si>
    <t>composto</t>
  </si>
  <si>
    <t>tasso a 3 anni</t>
  </si>
  <si>
    <t>W finale</t>
  </si>
  <si>
    <t>Sullo scadenzario t={0,1,2,3,4,5} (tempo misurato in anni) determinare il flusso finanziario W(k) k=0,1,…,5 costruito sulla base degli interessi semplici e degli interessi composti, a partire da un capitale di 1000 euro, con tasso di interesse i=5% su base annua. Calcolare inoltre per k=1,...5, i tassi di interesse i_k=(W(k)-W(k-1))/W(k-1), i fattori montanti e i fattori di attualizzazione</t>
  </si>
  <si>
    <t>k</t>
  </si>
  <si>
    <t>W(k)</t>
  </si>
  <si>
    <t>I(k)</t>
  </si>
  <si>
    <t>i(k)</t>
  </si>
  <si>
    <t>v(k)</t>
  </si>
  <si>
    <t>m(k)</t>
  </si>
  <si>
    <t>Il 6/10/2016 il prezzo del BOT con scadenza 8/01/2017 è di 99.254
a) rappresentare l'operazione finanziaria consistente nell'acquisto del BOT;
b) Calcolare interesse, tasso di interesse, fattore di sconto e montante;
c) calcolare il tasso di interesse su base giornaliera mensile (Act/30) e annua (Act/365) rispetto alla legge degli interessi semplici;
d) calcolare in base ai tassi equivalenti il tasso di interesse su base giornaliera mensile (Act/30) e annua (Act/365) rispetto alla legge degli interessi semplici;
e) calcolare in base ai tassi equivalenti il tasso di interesse su base mensile (Act/30) e annua (Act/365) rispetto alla legge degli interessi composti;</t>
  </si>
  <si>
    <t>data valutazione</t>
  </si>
  <si>
    <t>data scadenza</t>
  </si>
  <si>
    <t>prezzo</t>
  </si>
  <si>
    <t>valore nominale</t>
  </si>
  <si>
    <t>durata operazioni</t>
  </si>
  <si>
    <t>v</t>
  </si>
  <si>
    <t>i giornaliero</t>
  </si>
  <si>
    <t>i mensile</t>
  </si>
  <si>
    <t>e</t>
  </si>
  <si>
    <t>RIS
legge di capitalizzazione</t>
  </si>
  <si>
    <t>RIS
tassi equivalenti</t>
  </si>
  <si>
    <t>semplice</t>
  </si>
  <si>
    <t>Un deposito paga il tasso annuo del 4%. Usando la legge degli interessi semplici e quella degli interessi composti.
a) calcolare il tasso di interesse dell'operazione finanziaria che consiste nel deposito di una somma per 3 anni;
b) determinare il tempo necessario affinchè la somma investita aumenti del 15%;
c) determinare il tempo necessario affinchè la somma investita raddoppi;
d) determinare il tasso annuo da applicare affinchè la somma raddoppi in 10 anni.</t>
  </si>
  <si>
    <r>
      <t>Il signor Rossi chiede in prestito a Banca Verde 10 000 euro, da restituirsi dopo un anno e 3 mesi con un interesse di 840 euro. Si calcolino il tasso di interesse periodale j e il tasso di interesse annuo composto dell'operazione.
Banca Blu è disponibile a prestare la stessa somma per lo stesso periodo e applica un tasso di interesse annuo semplice del 7.1%. Calcolare il tasso di interesse periodale jB e il tasso di interesse annuo composto i*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dell'operazione proposta da Banca Blu.
Quale banca sceglierà il sig. Rossi, e perché?
</t>
    </r>
  </si>
  <si>
    <t>capitale</t>
  </si>
  <si>
    <t>M semplice</t>
  </si>
  <si>
    <t>jB</t>
  </si>
  <si>
    <t>iB composto</t>
  </si>
  <si>
    <t>Sceglierà la banca Verde perché applica un tasso di interesse annuo composto più basso e si tratta di un'operazione di finanziamento.</t>
  </si>
  <si>
    <t xml:space="preserve">Il Ministero del Tesoro propone in asta di emissione BTP con varie scadenze. Determinare per ogni titolo il prezzo di emissione tale che il tasso di interesse sia il 6.5% per ciascun BTP.
</t>
  </si>
  <si>
    <t>tasso nom (3)</t>
  </si>
  <si>
    <t>tasso nom (7)</t>
  </si>
  <si>
    <t>tasso nom (10)</t>
  </si>
  <si>
    <t>V nominale</t>
  </si>
  <si>
    <t>scadenza</t>
  </si>
  <si>
    <t>flusso</t>
  </si>
  <si>
    <t>valori attuali</t>
  </si>
  <si>
    <r>
      <t>Una banca propone in prestito 15 000 euro a un imprenditore, da restituirsi dopo T anni con un interesse di 5 000 euro. Si determini T, sapendo che il tasso annuo composto del prestito è i = 4%.
Un'altra banca propone in prestito la stessa somma per T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 xml:space="preserve"> anni, al tasso annuo semplice i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 xml:space="preserve"> = 5%. Determinare T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 xml:space="preserve"> in modo che l'importo che l'imprenditore dovrà restituire sarà lo stesso del prestito proposto dalla prima banca.
Si indichi infine a quale delle due banche si rivolgerà l'imprenditore.
</t>
    </r>
  </si>
  <si>
    <t>Montante</t>
  </si>
  <si>
    <t>T</t>
  </si>
  <si>
    <r>
      <t>T</t>
    </r>
    <r>
      <rPr>
        <vertAlign val="subscript"/>
        <sz val="16"/>
        <color theme="1"/>
        <rFont val="Calibri"/>
        <family val="2"/>
        <scheme val="minor"/>
      </rPr>
      <t>0</t>
    </r>
  </si>
  <si>
    <t>Sceglierà la seconda Banca, perché a parità di montante impiegherà meno tempo a rimborsare il prestito.</t>
  </si>
  <si>
    <r>
      <t>Il signor Russo deve scegliere fra due modalità di investimento propostegli da due banche web:
• il Conto Verde, nel quale il capitale investito cresce al tasso i</t>
    </r>
    <r>
      <rPr>
        <vertAlign val="subscript"/>
        <sz val="16"/>
        <color theme="1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 = 3% annuo composto;
• il Conto Giallo, nel quale il capitale investito cresce al tasso i</t>
    </r>
    <r>
      <rPr>
        <vertAlign val="subscript"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 = 4% annuo semplice.
Il signor Russo vuole mantenere il capitale investito fino a che la somma investita non sia aumentata di un quarto.
Si determini anzitutto il tempo T</t>
    </r>
    <r>
      <rPr>
        <vertAlign val="subscript"/>
        <sz val="16"/>
        <color theme="1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 necessario a raggiungere l'obiettivo nel caso di investimento nel Conto Verde e il tasso di interesse periodale j</t>
    </r>
    <r>
      <rPr>
        <vertAlign val="subscript"/>
        <sz val="16"/>
        <color theme="1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 per l'orizzonte [0, T</t>
    </r>
    <r>
      <rPr>
        <vertAlign val="subscript"/>
        <sz val="16"/>
        <color theme="1"/>
        <rFont val="Calibri"/>
        <family val="2"/>
        <scheme val="minor"/>
      </rPr>
      <t>V</t>
    </r>
    <r>
      <rPr>
        <sz val="16"/>
        <color theme="1"/>
        <rFont val="Calibri"/>
        <family val="2"/>
        <scheme val="minor"/>
      </rPr>
      <t xml:space="preserve"> ].
Si calcolino poi le analoghe grandezze T</t>
    </r>
    <r>
      <rPr>
        <vertAlign val="subscript"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 e j</t>
    </r>
    <r>
      <rPr>
        <vertAlign val="subscript"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 (per l'orizzonte [0, T</t>
    </r>
    <r>
      <rPr>
        <vertAlign val="subscript"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]) nel caso del Conto Giallo.
Si determini infine in quale dei due conti investirà il signor Russo.
</t>
    </r>
  </si>
  <si>
    <t>iv composto</t>
  </si>
  <si>
    <t>iG semplice</t>
  </si>
  <si>
    <t>Tv</t>
  </si>
  <si>
    <t>jv</t>
  </si>
  <si>
    <t>TG</t>
  </si>
  <si>
    <t>jG</t>
  </si>
  <si>
    <t>Sceglierà il conto Giallo perché a parità di montante impiegherà meno tempo a raggiungere l'obiettivo.</t>
  </si>
  <si>
    <r>
      <t>Un investitore che ha a disposizione un patrimonio di S = 120 000 euro, è determinato ad accrescerlo fino al valore S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 xml:space="preserve"> = 150000. A tale scopo ha a disposizione due possibilità: la prima è investire in un fondo che promette interessi composti al 3.7% all'anno. Ci calcoli il tempo T</t>
    </r>
    <r>
      <rPr>
        <vertAlign val="subscript"/>
        <sz val="16"/>
        <color theme="1"/>
        <rFont val="Calibri"/>
        <family val="2"/>
        <scheme val="minor"/>
      </rPr>
      <t>C</t>
    </r>
    <r>
      <rPr>
        <sz val="16"/>
        <color theme="1"/>
        <rFont val="Calibri"/>
        <family val="2"/>
        <scheme val="minor"/>
      </rPr>
      <t xml:space="preserve"> necessario per raggiungere il suo scopo.
La seconda è investire in un fondo che promette interessi semplici al 10% durante il primo anno, e successivamente composti, allo stesso tasso del fondo precedente. Si calcoli il tempo T</t>
    </r>
    <r>
      <rPr>
        <vertAlign val="subscript"/>
        <sz val="16"/>
        <color theme="1"/>
        <rFont val="Calibri"/>
        <family val="2"/>
        <scheme val="minor"/>
      </rPr>
      <t>SC</t>
    </r>
    <r>
      <rPr>
        <sz val="16"/>
        <color theme="1"/>
        <rFont val="Calibri"/>
        <family val="2"/>
        <scheme val="minor"/>
      </rPr>
      <t xml:space="preserve"> necessario a raggiungere il suo scopo in questo secondo caso.
</t>
    </r>
  </si>
  <si>
    <t>montante</t>
  </si>
  <si>
    <t>primo anno</t>
  </si>
  <si>
    <t>dal secondo anno</t>
  </si>
  <si>
    <r>
      <t>T</t>
    </r>
    <r>
      <rPr>
        <vertAlign val="subscript"/>
        <sz val="16"/>
        <color theme="1"/>
        <rFont val="Calibri"/>
        <family val="2"/>
        <scheme val="minor"/>
      </rPr>
      <t>c</t>
    </r>
  </si>
  <si>
    <r>
      <t>T</t>
    </r>
    <r>
      <rPr>
        <vertAlign val="subscript"/>
        <sz val="16"/>
        <color theme="1"/>
        <rFont val="Calibri"/>
        <family val="2"/>
        <scheme val="minor"/>
      </rPr>
      <t>SC</t>
    </r>
  </si>
  <si>
    <r>
      <t>Una banca propone ad un imprenditore un finanziamento di S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 xml:space="preserve"> = 100 000 euro, da restituirsi in un'unica soluzione dopo T = 4 anni, con gli interessi calcolati al tasso annuo lineare del 9.5%. L'impresa obietta che il tasso è superiore al massimo previsto dalla normativa vigente, che prevede che il tasso di interesse annuo composto per questo tipo di finanziamenti non possa superare il 9% annuo. Si calcoli il tasso di interesse annuo composto i* del finanziamento proposto e si determini se l'impresa ha ragione, motivando la risposta.
Indipendentemente dall'esito della verifica precedente, le due parti non riescono a mettersi d'accordo sulle condizioni del finanziamento, che vengono allora modificate come segue: stesso importo, stessa durata, ma interessi calcolati in modo composto al tasso massimo previsto dalla normativa. In riferimento a questa nuova proposta, se ne calcoli l'interesse I che l'impresa dovrà corrispondere alla scadenza.
</t>
    </r>
  </si>
  <si>
    <t>Capitale</t>
  </si>
  <si>
    <t>L'impresa ha torto perché il tasso annuo composto applicato è inferiore al 9%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</si>
</sst>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0000000000000000000000000000%"/>
    <numFmt numFmtId="166" formatCode="0.000000000000000%"/>
    <numFmt numFmtId="167" formatCode="0.0%"/>
    <numFmt numFmtId="168" formatCode="_-* #,##0_-;\-* #,##0_-;_-* &quot;-&quot;??_-;_-@_-"/>
    <numFmt numFmtId="169" formatCode="0.0000%"/>
    <numFmt numFmtId="170" formatCode="0.0000000000"/>
    <numFmt numFmtId="171" formatCode="0.000%"/>
    <numFmt numFmtId="172" formatCode="_-* #,##0.000_-;\-* #,##0.000_-;_-* &quot;-&quot;??_-;_-@_-"/>
    <numFmt numFmtId="173" formatCode="_-* #,##0.0000_-;\-* #,##0.0000_-;_-* &quot;-&quot;??_-;_-@_-"/>
    <numFmt numFmtId="174" formatCode="_-&quot;€&quot;\ * #,##0.000_-;\-&quot;€&quot;\ * #,##0.000_-;_-&quot;€&quot;\ * &quot;-&quot;???_-;_-@_-"/>
    <numFmt numFmtId="175" formatCode="0.0000"/>
    <numFmt numFmtId="176" formatCode="0.00000"/>
    <numFmt numFmtId="177" formatCode="0.000000"/>
    <numFmt numFmtId="178" formatCode="0.00000%"/>
    <numFmt numFmtId="179" formatCode="0.000"/>
    <numFmt numFmtId="180" formatCode="_-&quot;€&quot;\ * #,##0.000_-;\-&quot;€&quot;\ * #,##0.000_-;_-&quot;€&quot;\ * &quot;-&quot;??_-;_-@_-"/>
    <numFmt numFmtId="181" formatCode="_-&quot;€&quot;\ * #,##0.0000_-;\-&quot;€&quot;\ * #,##0.0000_-;_-&quot;€&quot;\ * &quot;-&quot;????_-;_-@_-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i/>
      <sz val="14"/>
      <name val="Calibri"/>
      <family val="2"/>
    </font>
    <font>
      <b/>
      <i/>
      <vertAlign val="subscript"/>
      <sz val="14"/>
      <name val="Calibri"/>
      <family val="2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Symbol"/>
      <family val="1"/>
      <charset val="2"/>
    </font>
    <font>
      <sz val="14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8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10" fontId="5" fillId="0" borderId="0" xfId="4" applyNumberFormat="1" applyFont="1" applyFill="1"/>
    <xf numFmtId="0" fontId="7" fillId="0" borderId="0" xfId="0" applyFont="1"/>
    <xf numFmtId="0" fontId="7" fillId="0" borderId="0" xfId="0" applyFont="1" applyFill="1"/>
    <xf numFmtId="165" fontId="5" fillId="0" borderId="0" xfId="4" applyNumberFormat="1" applyFont="1"/>
    <xf numFmtId="164" fontId="5" fillId="0" borderId="0" xfId="0" applyNumberFormat="1" applyFont="1"/>
    <xf numFmtId="166" fontId="5" fillId="0" borderId="0" xfId="4" applyNumberFormat="1" applyFont="1"/>
    <xf numFmtId="167" fontId="5" fillId="0" borderId="0" xfId="4" applyNumberFormat="1" applyFont="1" applyFill="1"/>
    <xf numFmtId="168" fontId="5" fillId="0" borderId="0" xfId="1" applyNumberFormat="1" applyFont="1" applyFill="1"/>
    <xf numFmtId="43" fontId="7" fillId="0" borderId="0" xfId="1" applyFont="1"/>
    <xf numFmtId="0" fontId="12" fillId="0" borderId="0" xfId="6" applyFont="1" applyAlignment="1">
      <alignment horizontal="center"/>
    </xf>
    <xf numFmtId="0" fontId="12" fillId="3" borderId="1" xfId="6" applyFont="1" applyFill="1" applyBorder="1" applyAlignment="1">
      <alignment horizontal="center"/>
    </xf>
    <xf numFmtId="0" fontId="12" fillId="2" borderId="1" xfId="6" applyFont="1" applyFill="1" applyBorder="1" applyAlignment="1">
      <alignment horizontal="center"/>
    </xf>
    <xf numFmtId="0" fontId="12" fillId="0" borderId="0" xfId="6" applyFont="1" applyAlignment="1">
      <alignment horizontal="center" vertical="top"/>
    </xf>
    <xf numFmtId="170" fontId="12" fillId="0" borderId="0" xfId="6" applyNumberFormat="1" applyFont="1" applyAlignment="1">
      <alignment horizontal="center"/>
    </xf>
    <xf numFmtId="0" fontId="14" fillId="0" borderId="0" xfId="8" applyFont="1"/>
    <xf numFmtId="169" fontId="14" fillId="0" borderId="0" xfId="13" applyNumberFormat="1" applyFont="1"/>
    <xf numFmtId="10" fontId="14" fillId="0" borderId="0" xfId="13" applyNumberFormat="1" applyFont="1"/>
    <xf numFmtId="43" fontId="14" fillId="0" borderId="0" xfId="12" applyFont="1"/>
    <xf numFmtId="0" fontId="5" fillId="4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/>
    <xf numFmtId="0" fontId="7" fillId="6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15" fillId="0" borderId="0" xfId="0" applyFont="1"/>
    <xf numFmtId="0" fontId="15" fillId="0" borderId="0" xfId="0" applyFont="1" applyFill="1"/>
    <xf numFmtId="0" fontId="16" fillId="4" borderId="1" xfId="0" applyFont="1" applyFill="1" applyBorder="1"/>
    <xf numFmtId="0" fontId="16" fillId="5" borderId="1" xfId="0" applyFont="1" applyFill="1" applyBorder="1"/>
    <xf numFmtId="0" fontId="16" fillId="6" borderId="1" xfId="0" applyFont="1" applyFill="1" applyBorder="1"/>
    <xf numFmtId="0" fontId="15" fillId="6" borderId="1" xfId="0" applyFont="1" applyFill="1" applyBorder="1"/>
    <xf numFmtId="0" fontId="15" fillId="5" borderId="1" xfId="0" applyFont="1" applyFill="1" applyBorder="1"/>
    <xf numFmtId="44" fontId="7" fillId="6" borderId="1" xfId="14" applyFont="1" applyFill="1" applyBorder="1"/>
    <xf numFmtId="0" fontId="12" fillId="0" borderId="1" xfId="6" applyFont="1" applyFill="1" applyBorder="1" applyAlignment="1">
      <alignment horizontal="center"/>
    </xf>
    <xf numFmtId="0" fontId="12" fillId="0" borderId="1" xfId="6" applyFont="1" applyBorder="1" applyAlignment="1">
      <alignment horizontal="center"/>
    </xf>
    <xf numFmtId="169" fontId="12" fillId="5" borderId="1" xfId="4" applyNumberFormat="1" applyFont="1" applyFill="1" applyBorder="1" applyAlignment="1">
      <alignment horizontal="center"/>
    </xf>
    <xf numFmtId="0" fontId="12" fillId="5" borderId="1" xfId="6" applyFont="1" applyFill="1" applyBorder="1" applyAlignment="1">
      <alignment horizontal="center"/>
    </xf>
    <xf numFmtId="10" fontId="7" fillId="6" borderId="1" xfId="0" applyNumberFormat="1" applyFont="1" applyFill="1" applyBorder="1"/>
    <xf numFmtId="0" fontId="16" fillId="0" borderId="0" xfId="8" applyFont="1"/>
    <xf numFmtId="43" fontId="16" fillId="0" borderId="0" xfId="12" applyFont="1"/>
    <xf numFmtId="169" fontId="16" fillId="0" borderId="0" xfId="13" applyNumberFormat="1" applyFont="1"/>
    <xf numFmtId="0" fontId="16" fillId="5" borderId="1" xfId="8" applyFont="1" applyFill="1" applyBorder="1"/>
    <xf numFmtId="0" fontId="17" fillId="4" borderId="1" xfId="8" applyFont="1" applyFill="1" applyBorder="1" applyAlignment="1">
      <alignment horizontal="center"/>
    </xf>
    <xf numFmtId="43" fontId="17" fillId="4" borderId="1" xfId="12" applyFont="1" applyFill="1" applyBorder="1" applyAlignment="1">
      <alignment horizontal="center"/>
    </xf>
    <xf numFmtId="169" fontId="17" fillId="4" borderId="1" xfId="13" applyNumberFormat="1" applyFont="1" applyFill="1" applyBorder="1" applyAlignment="1">
      <alignment horizontal="center"/>
    </xf>
    <xf numFmtId="43" fontId="17" fillId="4" borderId="5" xfId="12" applyFont="1" applyFill="1" applyBorder="1" applyAlignment="1">
      <alignment horizontal="center"/>
    </xf>
    <xf numFmtId="171" fontId="7" fillId="6" borderId="1" xfId="4" applyNumberFormat="1" applyFont="1" applyFill="1" applyBorder="1"/>
    <xf numFmtId="14" fontId="7" fillId="6" borderId="1" xfId="0" applyNumberFormat="1" applyFont="1" applyFill="1" applyBorder="1"/>
    <xf numFmtId="2" fontId="7" fillId="6" borderId="1" xfId="14" applyNumberFormat="1" applyFont="1" applyFill="1" applyBorder="1"/>
    <xf numFmtId="0" fontId="5" fillId="6" borderId="1" xfId="0" applyFont="1" applyFill="1" applyBorder="1" applyAlignment="1">
      <alignment horizontal="right"/>
    </xf>
    <xf numFmtId="1" fontId="7" fillId="6" borderId="1" xfId="0" applyNumberFormat="1" applyFont="1" applyFill="1" applyBorder="1"/>
    <xf numFmtId="0" fontId="0" fillId="0" borderId="1" xfId="0" applyBorder="1"/>
    <xf numFmtId="0" fontId="5" fillId="7" borderId="1" xfId="0" applyFont="1" applyFill="1" applyBorder="1"/>
    <xf numFmtId="44" fontId="19" fillId="0" borderId="1" xfId="14" applyFont="1" applyBorder="1"/>
    <xf numFmtId="169" fontId="19" fillId="0" borderId="1" xfId="4" applyNumberFormat="1" applyFont="1" applyBorder="1"/>
    <xf numFmtId="0" fontId="19" fillId="0" borderId="1" xfId="0" applyFont="1" applyBorder="1"/>
    <xf numFmtId="0" fontId="5" fillId="0" borderId="1" xfId="0" applyFont="1" applyBorder="1"/>
    <xf numFmtId="0" fontId="7" fillId="0" borderId="1" xfId="0" applyFont="1" applyBorder="1"/>
    <xf numFmtId="171" fontId="7" fillId="0" borderId="1" xfId="4" applyNumberFormat="1" applyFont="1" applyBorder="1"/>
    <xf numFmtId="44" fontId="7" fillId="0" borderId="1" xfId="14" applyFont="1" applyBorder="1"/>
    <xf numFmtId="169" fontId="7" fillId="0" borderId="1" xfId="4" applyNumberFormat="1" applyFont="1" applyBorder="1"/>
    <xf numFmtId="176" fontId="7" fillId="0" borderId="1" xfId="0" applyNumberFormat="1" applyFont="1" applyBorder="1"/>
    <xf numFmtId="0" fontId="15" fillId="0" borderId="1" xfId="0" applyFont="1" applyBorder="1"/>
    <xf numFmtId="0" fontId="15" fillId="0" borderId="1" xfId="0" applyFont="1" applyFill="1" applyBorder="1"/>
    <xf numFmtId="169" fontId="15" fillId="0" borderId="1" xfId="4" applyNumberFormat="1" applyFont="1" applyFill="1" applyBorder="1"/>
    <xf numFmtId="44" fontId="15" fillId="0" borderId="1" xfId="14" applyFont="1" applyFill="1" applyBorder="1"/>
    <xf numFmtId="0" fontId="15" fillId="7" borderId="1" xfId="0" applyFont="1" applyFill="1" applyBorder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9" fontId="16" fillId="0" borderId="3" xfId="13" applyNumberFormat="1" applyFont="1" applyFill="1" applyBorder="1"/>
    <xf numFmtId="172" fontId="16" fillId="0" borderId="1" xfId="12" applyNumberFormat="1" applyFont="1" applyFill="1" applyBorder="1"/>
    <xf numFmtId="173" fontId="16" fillId="0" borderId="6" xfId="12" applyNumberFormat="1" applyFont="1" applyFill="1" applyBorder="1"/>
    <xf numFmtId="175" fontId="16" fillId="0" borderId="3" xfId="13" applyNumberFormat="1" applyFont="1" applyFill="1" applyBorder="1"/>
    <xf numFmtId="44" fontId="16" fillId="0" borderId="1" xfId="14" applyFont="1" applyFill="1" applyBorder="1"/>
    <xf numFmtId="175" fontId="16" fillId="0" borderId="1" xfId="12" applyNumberFormat="1" applyFont="1" applyFill="1" applyBorder="1"/>
    <xf numFmtId="44" fontId="16" fillId="0" borderId="1" xfId="14" applyNumberFormat="1" applyFont="1" applyFill="1" applyBorder="1"/>
    <xf numFmtId="43" fontId="16" fillId="7" borderId="1" xfId="12" applyFont="1" applyFill="1" applyBorder="1"/>
    <xf numFmtId="172" fontId="16" fillId="7" borderId="1" xfId="12" applyNumberFormat="1" applyFont="1" applyFill="1" applyBorder="1"/>
    <xf numFmtId="44" fontId="16" fillId="7" borderId="1" xfId="14" applyFont="1" applyFill="1" applyBorder="1"/>
    <xf numFmtId="0" fontId="16" fillId="7" borderId="1" xfId="8" applyFont="1" applyFill="1" applyBorder="1"/>
    <xf numFmtId="9" fontId="7" fillId="6" borderId="1" xfId="0" applyNumberFormat="1" applyFont="1" applyFill="1" applyBorder="1"/>
    <xf numFmtId="169" fontId="0" fillId="0" borderId="0" xfId="0" applyNumberFormat="1"/>
    <xf numFmtId="0" fontId="19" fillId="7" borderId="1" xfId="0" applyFont="1" applyFill="1" applyBorder="1"/>
    <xf numFmtId="174" fontId="15" fillId="0" borderId="1" xfId="0" applyNumberFormat="1" applyFont="1" applyBorder="1"/>
    <xf numFmtId="171" fontId="15" fillId="0" borderId="1" xfId="0" applyNumberFormat="1" applyFont="1" applyBorder="1"/>
    <xf numFmtId="44" fontId="15" fillId="0" borderId="1" xfId="14" applyFont="1" applyBorder="1"/>
    <xf numFmtId="169" fontId="15" fillId="0" borderId="1" xfId="4" applyNumberFormat="1" applyFont="1" applyBorder="1"/>
    <xf numFmtId="171" fontId="15" fillId="0" borderId="1" xfId="4" applyNumberFormat="1" applyFont="1" applyBorder="1"/>
    <xf numFmtId="0" fontId="0" fillId="0" borderId="1" xfId="0" applyFill="1" applyBorder="1"/>
    <xf numFmtId="177" fontId="15" fillId="0" borderId="1" xfId="0" applyNumberFormat="1" applyFont="1" applyBorder="1"/>
    <xf numFmtId="176" fontId="15" fillId="0" borderId="1" xfId="0" applyNumberFormat="1" applyFont="1" applyBorder="1"/>
    <xf numFmtId="0" fontId="15" fillId="0" borderId="0" xfId="0" applyFont="1" applyAlignment="1"/>
    <xf numFmtId="0" fontId="15" fillId="0" borderId="4" xfId="0" applyFont="1" applyBorder="1" applyAlignment="1"/>
    <xf numFmtId="0" fontId="15" fillId="0" borderId="2" xfId="0" applyFont="1" applyBorder="1" applyAlignment="1"/>
    <xf numFmtId="0" fontId="15" fillId="7" borderId="3" xfId="0" applyFont="1" applyFill="1" applyBorder="1" applyAlignment="1"/>
    <xf numFmtId="10" fontId="7" fillId="0" borderId="1" xfId="4" applyNumberFormat="1" applyFont="1" applyBorder="1"/>
    <xf numFmtId="0" fontId="18" fillId="7" borderId="1" xfId="0" applyFont="1" applyFill="1" applyBorder="1"/>
    <xf numFmtId="178" fontId="19" fillId="0" borderId="1" xfId="4" applyNumberFormat="1" applyFont="1" applyBorder="1"/>
    <xf numFmtId="0" fontId="19" fillId="0" borderId="0" xfId="0" applyFont="1" applyAlignment="1">
      <alignment vertical="top" wrapText="1"/>
    </xf>
    <xf numFmtId="0" fontId="19" fillId="0" borderId="0" xfId="0" applyFont="1"/>
    <xf numFmtId="0" fontId="19" fillId="5" borderId="1" xfId="0" applyFont="1" applyFill="1" applyBorder="1"/>
    <xf numFmtId="0" fontId="19" fillId="0" borderId="1" xfId="0" applyFont="1" applyBorder="1" applyAlignment="1">
      <alignment vertical="top" wrapText="1"/>
    </xf>
    <xf numFmtId="9" fontId="19" fillId="6" borderId="1" xfId="0" applyNumberFormat="1" applyFont="1" applyFill="1" applyBorder="1" applyAlignment="1">
      <alignment vertical="top" wrapText="1"/>
    </xf>
    <xf numFmtId="0" fontId="19" fillId="6" borderId="1" xfId="0" applyFont="1" applyFill="1" applyBorder="1" applyAlignment="1">
      <alignment horizontal="right" vertical="top" wrapText="1"/>
    </xf>
    <xf numFmtId="0" fontId="19" fillId="5" borderId="1" xfId="0" applyFont="1" applyFill="1" applyBorder="1" applyAlignment="1">
      <alignment vertical="top" wrapText="1"/>
    </xf>
    <xf numFmtId="0" fontId="19" fillId="7" borderId="1" xfId="0" applyFont="1" applyFill="1" applyBorder="1" applyAlignment="1">
      <alignment vertical="top" wrapText="1"/>
    </xf>
    <xf numFmtId="169" fontId="19" fillId="0" borderId="1" xfId="4" applyNumberFormat="1" applyFont="1" applyBorder="1" applyAlignment="1">
      <alignment vertical="top" wrapText="1"/>
    </xf>
    <xf numFmtId="175" fontId="19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9" fontId="19" fillId="0" borderId="0" xfId="0" applyNumberFormat="1" applyFont="1"/>
    <xf numFmtId="179" fontId="19" fillId="0" borderId="1" xfId="0" applyNumberFormat="1" applyFont="1" applyBorder="1"/>
    <xf numFmtId="2" fontId="19" fillId="0" borderId="1" xfId="0" applyNumberFormat="1" applyFont="1" applyBorder="1"/>
    <xf numFmtId="9" fontId="19" fillId="6" borderId="1" xfId="0" applyNumberFormat="1" applyFont="1" applyFill="1" applyBorder="1"/>
    <xf numFmtId="14" fontId="19" fillId="0" borderId="1" xfId="0" applyNumberFormat="1" applyFont="1" applyBorder="1"/>
    <xf numFmtId="14" fontId="19" fillId="6" borderId="1" xfId="0" applyNumberFormat="1" applyFont="1" applyFill="1" applyBorder="1"/>
    <xf numFmtId="180" fontId="19" fillId="6" borderId="1" xfId="14" applyNumberFormat="1" applyFont="1" applyFill="1" applyBorder="1"/>
    <xf numFmtId="180" fontId="19" fillId="0" borderId="1" xfId="0" applyNumberFormat="1" applyFont="1" applyBorder="1"/>
    <xf numFmtId="44" fontId="19" fillId="0" borderId="1" xfId="0" applyNumberFormat="1" applyFont="1" applyBorder="1"/>
    <xf numFmtId="10" fontId="0" fillId="0" borderId="0" xfId="4" applyNumberFormat="1" applyFont="1"/>
    <xf numFmtId="44" fontId="15" fillId="6" borderId="1" xfId="14" applyFont="1" applyFill="1" applyBorder="1"/>
    <xf numFmtId="167" fontId="15" fillId="6" borderId="1" xfId="15" applyNumberFormat="1" applyFont="1" applyFill="1" applyBorder="1"/>
    <xf numFmtId="44" fontId="15" fillId="0" borderId="1" xfId="0" applyNumberFormat="1" applyFont="1" applyBorder="1"/>
    <xf numFmtId="169" fontId="15" fillId="0" borderId="1" xfId="15" applyNumberFormat="1" applyFont="1" applyBorder="1"/>
    <xf numFmtId="10" fontId="15" fillId="6" borderId="1" xfId="0" applyNumberFormat="1" applyFont="1" applyFill="1" applyBorder="1"/>
    <xf numFmtId="10" fontId="15" fillId="0" borderId="0" xfId="0" applyNumberFormat="1" applyFont="1"/>
    <xf numFmtId="9" fontId="15" fillId="6" borderId="1" xfId="0" applyNumberFormat="1" applyFont="1" applyFill="1" applyBorder="1"/>
    <xf numFmtId="9" fontId="15" fillId="0" borderId="0" xfId="0" applyNumberFormat="1" applyFont="1"/>
    <xf numFmtId="44" fontId="15" fillId="0" borderId="0" xfId="14" applyFont="1"/>
    <xf numFmtId="44" fontId="15" fillId="6" borderId="1" xfId="0" applyNumberFormat="1" applyFont="1" applyFill="1" applyBorder="1"/>
    <xf numFmtId="44" fontId="15" fillId="0" borderId="0" xfId="0" applyNumberFormat="1" applyFont="1"/>
    <xf numFmtId="0" fontId="15" fillId="0" borderId="0" xfId="0" applyFont="1" applyAlignment="1">
      <alignment vertical="top" wrapText="1"/>
    </xf>
    <xf numFmtId="0" fontId="15" fillId="5" borderId="1" xfId="0" applyFont="1" applyFill="1" applyBorder="1" applyAlignment="1">
      <alignment vertical="top" wrapText="1"/>
    </xf>
    <xf numFmtId="9" fontId="15" fillId="6" borderId="1" xfId="0" applyNumberFormat="1" applyFont="1" applyFill="1" applyBorder="1" applyAlignment="1">
      <alignment vertical="top" wrapText="1"/>
    </xf>
    <xf numFmtId="44" fontId="15" fillId="6" borderId="1" xfId="14" applyFont="1" applyFill="1" applyBorder="1" applyAlignment="1">
      <alignment vertical="top" wrapText="1"/>
    </xf>
    <xf numFmtId="9" fontId="15" fillId="0" borderId="1" xfId="15" applyNumberFormat="1" applyFont="1" applyBorder="1"/>
    <xf numFmtId="175" fontId="15" fillId="0" borderId="1" xfId="0" applyNumberFormat="1" applyFont="1" applyBorder="1"/>
    <xf numFmtId="9" fontId="15" fillId="0" borderId="1" xfId="15" applyFont="1" applyBorder="1"/>
    <xf numFmtId="0" fontId="15" fillId="0" borderId="0" xfId="0" applyFont="1" applyBorder="1"/>
    <xf numFmtId="0" fontId="15" fillId="0" borderId="0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0" fontId="15" fillId="6" borderId="1" xfId="0" applyNumberFormat="1" applyFont="1" applyFill="1" applyBorder="1" applyAlignment="1">
      <alignment vertical="top" wrapText="1"/>
    </xf>
    <xf numFmtId="181" fontId="15" fillId="0" borderId="0" xfId="0" applyNumberFormat="1" applyFont="1"/>
    <xf numFmtId="169" fontId="15" fillId="0" borderId="0" xfId="15" applyNumberFormat="1" applyFont="1"/>
    <xf numFmtId="0" fontId="15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9" fontId="12" fillId="2" borderId="1" xfId="6" applyNumberFormat="1" applyFont="1" applyFill="1" applyBorder="1" applyAlignment="1">
      <alignment horizontal="center"/>
    </xf>
    <xf numFmtId="0" fontId="12" fillId="2" borderId="1" xfId="6" applyFont="1" applyFill="1" applyBorder="1" applyAlignment="1">
      <alignment horizontal="center"/>
    </xf>
    <xf numFmtId="0" fontId="12" fillId="0" borderId="0" xfId="6" applyFont="1" applyBorder="1" applyAlignment="1">
      <alignment horizontal="center"/>
    </xf>
    <xf numFmtId="0" fontId="11" fillId="0" borderId="0" xfId="6" applyBorder="1" applyAlignment="1">
      <alignment horizontal="center"/>
    </xf>
    <xf numFmtId="0" fontId="12" fillId="0" borderId="0" xfId="6" applyFont="1" applyBorder="1" applyAlignment="1">
      <alignment horizontal="center" vertical="top"/>
    </xf>
    <xf numFmtId="0" fontId="12" fillId="3" borderId="3" xfId="6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4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/>
    </xf>
    <xf numFmtId="0" fontId="12" fillId="3" borderId="3" xfId="6" applyFont="1" applyFill="1" applyBorder="1" applyAlignment="1">
      <alignment horizontal="center"/>
    </xf>
    <xf numFmtId="0" fontId="12" fillId="3" borderId="4" xfId="6" applyFont="1" applyFill="1" applyBorder="1" applyAlignment="1">
      <alignment horizontal="center"/>
    </xf>
    <xf numFmtId="0" fontId="12" fillId="2" borderId="3" xfId="6" applyFont="1" applyFill="1" applyBorder="1" applyAlignment="1">
      <alignment horizontal="center"/>
    </xf>
    <xf numFmtId="0" fontId="12" fillId="2" borderId="2" xfId="6" applyFont="1" applyFill="1" applyBorder="1" applyAlignment="1">
      <alignment horizontal="center"/>
    </xf>
    <xf numFmtId="0" fontId="12" fillId="2" borderId="4" xfId="6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6" fillId="4" borderId="1" xfId="8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/>
    </xf>
    <xf numFmtId="0" fontId="15" fillId="7" borderId="3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9" fillId="7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</cellXfs>
  <cellStyles count="16">
    <cellStyle name="Migliaia" xfId="1" builtinId="3"/>
    <cellStyle name="Migliaia 2" xfId="2"/>
    <cellStyle name="Migliaia 3" xfId="7"/>
    <cellStyle name="Migliaia 4" xfId="12"/>
    <cellStyle name="Normale" xfId="0" builtinId="0"/>
    <cellStyle name="Normale 2" xfId="3"/>
    <cellStyle name="Normale 3" xfId="6"/>
    <cellStyle name="Normale 3 2" xfId="10"/>
    <cellStyle name="Normale_Sett3-4" xfId="8"/>
    <cellStyle name="Percentuale" xfId="4" builtinId="5"/>
    <cellStyle name="Percentuale 2" xfId="5"/>
    <cellStyle name="Percentuale 2 2" xfId="11"/>
    <cellStyle name="Percentuale 3" xfId="13"/>
    <cellStyle name="Percentuale 4" xfId="15"/>
    <cellStyle name="Valuta" xfId="14" builtinId="4"/>
    <cellStyle name="Valut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161925</xdr:rowOff>
    </xdr:from>
    <xdr:to>
      <xdr:col>10</xdr:col>
      <xdr:colOff>95249</xdr:colOff>
      <xdr:row>12</xdr:row>
      <xdr:rowOff>219075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8995409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76200</xdr:rowOff>
    </xdr:from>
    <xdr:to>
      <xdr:col>7</xdr:col>
      <xdr:colOff>790575</xdr:colOff>
      <xdr:row>22</xdr:row>
      <xdr:rowOff>152400</xdr:rowOff>
    </xdr:to>
    <xdr:sp macro="" textlink="">
      <xdr:nvSpPr>
        <xdr:cNvPr id="15370" name="Content Placeholder 4"/>
        <xdr:cNvSpPr>
          <a:spLocks/>
        </xdr:cNvSpPr>
      </xdr:nvSpPr>
      <xdr:spPr bwMode="auto">
        <a:xfrm>
          <a:off x="247650" y="76200"/>
          <a:ext cx="10125075" cy="5314950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 in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= 0 l’acquisto di un titolo a cedola nulla con vita a scadenza di 20 giorni 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=20 giorni) e prezzo di acquisto (lordo) di W(t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)=99,71€ che rimborsa W(t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)=100€ di valore nominale. </a:t>
          </a:r>
        </a:p>
        <a:p>
          <a:pPr algn="l" rtl="0">
            <a:lnSpc>
              <a:spcPts val="1900"/>
            </a:lnSpc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9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Sapendo che tale titolo è soggetto ad una ritenuta fiscale, da pagarsi anticipatamente, del 12,5% sull’interesse lordo, calcolare relativamente all’operazione di acquisto:</a:t>
          </a:r>
        </a:p>
        <a:p>
          <a:pPr algn="l" rtl="0">
            <a:lnSpc>
              <a:spcPts val="19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l’interesse lordo</a:t>
          </a:r>
        </a:p>
        <a:p>
          <a:pPr algn="l" rtl="0">
            <a:lnSpc>
              <a:spcPts val="19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il prezzo di acquisto netto</a:t>
          </a:r>
        </a:p>
        <a:p>
          <a:pPr algn="l" rtl="0">
            <a:lnSpc>
              <a:spcPts val="19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l’interesse netto</a:t>
          </a:r>
        </a:p>
        <a:p>
          <a:pPr algn="l" rtl="0">
            <a:lnSpc>
              <a:spcPts val="1900"/>
            </a:lnSpc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esponenziale e misurando l’anno in giorni effettivi (365), calcolare al  netto della ritenuta fiscale le quantità: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il tasso annuo di interesse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(e) l’intensità istantanea di interesse su base annua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(f) il tasso semestrale di interesse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(g) l’intensità istantanea di interesse su base semestrale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lineare e misurando l’anno in giorni effettivi, calcolare al netto della  ritenuta fiscale le quantità: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(h) il tasso annuo di interesse:</a:t>
          </a:r>
        </a:p>
        <a:p>
          <a:pPr algn="l" rtl="0">
            <a:lnSpc>
              <a:spcPts val="1900"/>
            </a:lnSpc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(i) il tasso semestrale di interesse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190500</xdr:rowOff>
    </xdr:from>
    <xdr:to>
      <xdr:col>9</xdr:col>
      <xdr:colOff>342900</xdr:colOff>
      <xdr:row>14</xdr:row>
      <xdr:rowOff>190500</xdr:rowOff>
    </xdr:to>
    <xdr:sp macro="" textlink="">
      <xdr:nvSpPr>
        <xdr:cNvPr id="8202" name="Content Placeholder 4"/>
        <xdr:cNvSpPr>
          <a:spLocks/>
        </xdr:cNvSpPr>
      </xdr:nvSpPr>
      <xdr:spPr bwMode="auto">
        <a:xfrm>
          <a:off x="247650" y="190500"/>
          <a:ext cx="9353550" cy="3333750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Sia data una operazione finanziaria consistente nell’investire in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= 0 un capitale di W(t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)= x euro a tre anni e mezzo 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= 3,5 anni). Sapendo che l’interesse che l’operazione produce è di I(t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;t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) = 50€, si determini il capitale iniziale W(t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) in ognuno dei seguenti casi: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in regime di capitalizzazione esponenziale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al tasso semestrale di interesse del 5,5%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al tasso annuo di interesse del 12%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secondo una legge di intensità  = 0,11 anni^−1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in regime di capitalizzazione lineare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al tasso semestrale di interesse del 6%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(e) al tasso annuo di interesse dell’11,5%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10</xdr:col>
      <xdr:colOff>1228725</xdr:colOff>
      <xdr:row>17</xdr:row>
      <xdr:rowOff>104775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76200" y="38100"/>
          <a:ext cx="8843963" cy="4114800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Dato il tasso di interesse trimestrale i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1/4 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pari a 0,05 calcolare sia in LE (legge esponenziale) che in LL (legge Lineare) il tasso equivalente relativo a un periodo di (si consideri l’anno commerciale, costituito da 360 gg, e il mese costituito da 30 gg)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•1 giorno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•2 giorni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•3 giorni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•4 giorni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•5 giorni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•6 giorni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•7 giorni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•1 mese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•2 mesi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•3 mesi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•4 mesi</a:t>
          </a:r>
        </a:p>
        <a:p>
          <a:pPr algn="l" rtl="0">
            <a:lnSpc>
              <a:spcPts val="15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•5 mesi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•6 mesi</a:t>
          </a:r>
        </a:p>
        <a:p>
          <a:pPr algn="l" rtl="0">
            <a:lnSpc>
              <a:spcPts val="15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•1 anno</a:t>
          </a:r>
        </a:p>
        <a:p>
          <a:pPr algn="l" rtl="0">
            <a:lnSpc>
              <a:spcPts val="16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•2 anni</a:t>
          </a:r>
        </a:p>
        <a:p>
          <a:pPr algn="l" rtl="0">
            <a:lnSpc>
              <a:spcPts val="1500"/>
            </a:lnSpc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600"/>
            </a:lnSpc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500"/>
            </a:lnSpc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  <a:p>
          <a:pPr algn="l" rtl="0">
            <a:lnSpc>
              <a:spcPts val="1500"/>
            </a:lnSpc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16</xdr:col>
      <xdr:colOff>466725</xdr:colOff>
      <xdr:row>15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5275" y="190500"/>
          <a:ext cx="9925050" cy="2819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 al tempo t = 0 l'operazione  finanziaria di acquisto di un titolo a cedola  fissa trimestrale, con durata 10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anni, nominale 2 000 euro e quotato alla pari. Si assuma che il tasso nominale annuo sia il 4%: si calcoli il tasso interno di rendimento i* del titolo e lo si esprima in forma percentuale e su base annua.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assuma invece di volere che il tasso interno di rendimento risulti i'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*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= 3% in base annua: che importo deve avere la cedola I affinchè il t.i.r. risulti quello richiesto?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calcoli infine al tempo t = 2 mesi e secondo la legge esponenziale di tasso annuo i'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*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il valore W dell'operazione  finanziaria di acquisto del titolo con la cedola I appena calcolata e lo si scomponga in valore montante M e valore residuo V 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77787</xdr:colOff>
      <xdr:row>0</xdr:row>
      <xdr:rowOff>76200</xdr:rowOff>
    </xdr:from>
    <xdr:to>
      <xdr:col>16</xdr:col>
      <xdr:colOff>220662</xdr:colOff>
      <xdr:row>18</xdr:row>
      <xdr:rowOff>123825</xdr:rowOff>
    </xdr:to>
    <xdr:sp macro="" textlink="">
      <xdr:nvSpPr>
        <xdr:cNvPr id="2" name="Content Placeholder 4"/>
        <xdr:cNvSpPr>
          <a:spLocks/>
        </xdr:cNvSpPr>
      </xdr:nvSpPr>
      <xdr:spPr bwMode="auto">
        <a:xfrm>
          <a:off x="77787" y="76200"/>
          <a:ext cx="8820150" cy="2790825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Si consideri in 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= 0 l’acquisto di un titolo a cedola fissa con vita a scadenza di 5 anni (S = 5 anni) che paga semestralmente una cedola pari a 2,375 € e rimborsa a scadenza il capitale iniziale di 100€. Il tasso d’interesse annuale è pari al 4,75%. Calcolare il valore attuale dell’operazione: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In Legge Lineare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•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In Legge Esponenziale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Sulla base dei valori attuali determinati nei punti precedenti (che quindi rendono l’operazione equa per costruzione in 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= 0), verificare per ciascuna legge, nei periodi 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k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= 2 anni e 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k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= 5 anni, la validità della proprietà di equità.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	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0</xdr:row>
      <xdr:rowOff>95249</xdr:rowOff>
    </xdr:from>
    <xdr:to>
      <xdr:col>7</xdr:col>
      <xdr:colOff>876299</xdr:colOff>
      <xdr:row>5</xdr:row>
      <xdr:rowOff>104775</xdr:rowOff>
    </xdr:to>
    <xdr:sp macro="" textlink="">
      <xdr:nvSpPr>
        <xdr:cNvPr id="46081" name="Text Box 1"/>
        <xdr:cNvSpPr txBox="1">
          <a:spLocks noChangeArrowheads="1"/>
        </xdr:cNvSpPr>
      </xdr:nvSpPr>
      <xdr:spPr bwMode="auto">
        <a:xfrm>
          <a:off x="257174" y="95249"/>
          <a:ext cx="8905875" cy="1200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Data l’operazione finanziaria x = {−350, 600} ai tempi t = {1, 4} mesi, trasformarla in una operazione equa, conformemente alla legge esponenziale con tasso semestrale di interesse i = 5.8%, aggiungendo un importo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t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al tempo t = 7 mesi.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57150</xdr:rowOff>
    </xdr:from>
    <xdr:to>
      <xdr:col>17</xdr:col>
      <xdr:colOff>257175</xdr:colOff>
      <xdr:row>11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1950" y="247650"/>
          <a:ext cx="10258425" cy="1924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Un imprenditore vuole in prestito 10 100 euro, da restituire dopo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1 anno e 11 mesi. La banca A  è disposta 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concederglielo al tasso annuo semplice i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S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7.1%. Si determini l'interesse I che l'imprenditore dovrà pagare alla scadenza e il tasso interno di rendimento i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in base annua dell'operazione.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La banca B gli propone in prestito la stessa somma, con lo stesso interesse, con durata dell'operazione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anni e tasso annuo composto i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C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7.2%. Si determini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e il tasso interno di rendimento i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in base annua di questa seconda operazione.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A quale delle due banche conviene rivolgersi e per quale motivo? (Motivare, altrimenti la risposta non verrà considerata!)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142875</xdr:rowOff>
    </xdr:from>
    <xdr:to>
      <xdr:col>16</xdr:col>
      <xdr:colOff>419100</xdr:colOff>
      <xdr:row>27</xdr:row>
      <xdr:rowOff>123826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5775" y="142875"/>
          <a:ext cx="9686925" cy="51244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 un investitore che, all’asta del 15 settembre 2014 acquista un bot trimestrale, con scadenza il 15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dicembre dello stesso anno e valore di rimborso di 5000 euro. Il prezzo di acquisto (lordo) è di 4880 euro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e tale titolo è gravato da un’imposta del 12.5% sull’interesse, che va pagata anticipatamente all’atto dell’acquisto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 quindi il prezzo netto del titolo tiene conto di tale gravame fiscale). Considerando i giorni effettivi di durata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dell’operazione, calcolare le seguenti grandezze periodali: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il tasso di interesse lordo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l’intensità di interesse lorda su base giornaliera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il tasso di interesse netto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l’intensità di interesse netta su base giornaliera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esponenziale e misurando l’anno in giorni effettivi (365),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(e) il tasso annuo di interesse lordo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(f) l’intensità istantanea di interesse lorda su base annua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(g) il tasso annuo di interesse netto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(h) l’intensità istantanea di interesse netta su base annua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lineare e misurando l’anno in giorni effettivi (365), 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(i) il tasso annuo di interesse lordo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(j) il tasso annuo di interesse netto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0</xdr:row>
      <xdr:rowOff>114300</xdr:rowOff>
    </xdr:from>
    <xdr:to>
      <xdr:col>10</xdr:col>
      <xdr:colOff>285749</xdr:colOff>
      <xdr:row>17</xdr:row>
      <xdr:rowOff>104775</xdr:rowOff>
    </xdr:to>
    <xdr:sp macro="" textlink="">
      <xdr:nvSpPr>
        <xdr:cNvPr id="44033" name="Text Box 1"/>
        <xdr:cNvSpPr txBox="1">
          <a:spLocks noChangeArrowheads="1"/>
        </xdr:cNvSpPr>
      </xdr:nvSpPr>
      <xdr:spPr bwMode="auto">
        <a:xfrm>
          <a:off x="180974" y="114300"/>
          <a:ext cx="10696575" cy="403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 l’acquisto di un titolo a cedola nulla con vita a scadenza di 20 giorni e prezzo di acquisto (lordo)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di 99.71 euro per 100 euro di valore nominale. Sapendo che tale titolo è soggetto ad una ritenuta fiscale, da pagarsi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anticipatamente, del 12.5% sull’interesse lordo, calcolare relativamente all’operazione di acquisto: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l’interesse lordo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il prezzo di acquisto netto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l’interesse netto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esponenziale e misurando l’anno in giorni effettivi (365), calcolare al netto della ritenuta fiscale le quantità: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il tasso annuo di interesse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(e) l’intensità istantanea di interesse su base annua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(f) il tasso semestrale di interesse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(g) l’intensità istantanea di interesse su base semestrale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lineare e misurando l’anno in giorni effettivi, calcolare al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netto della ritenuta fiscale le quantità: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(h) il tasso annuo di interesse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(i) il tasso semestrale di interesse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</xdr:row>
      <xdr:rowOff>57149</xdr:rowOff>
    </xdr:from>
    <xdr:to>
      <xdr:col>7</xdr:col>
      <xdr:colOff>647700</xdr:colOff>
      <xdr:row>6</xdr:row>
      <xdr:rowOff>161925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257174" y="295274"/>
          <a:ext cx="8677276" cy="12954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 l’operazione finanziaria che garantisce il raddoppio del capitale investito in 2 anni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e 3 mesi; calcolare il tasso di interesse e il tasso di sconto su base periodale. Calcolare il tasso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d’interesse equivalente su base annua e su base semestrale nel caso di legge esponenziale.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123825</xdr:rowOff>
    </xdr:from>
    <xdr:to>
      <xdr:col>6</xdr:col>
      <xdr:colOff>4562475</xdr:colOff>
      <xdr:row>11</xdr:row>
      <xdr:rowOff>47625</xdr:rowOff>
    </xdr:to>
    <xdr:sp macro="" textlink="">
      <xdr:nvSpPr>
        <xdr:cNvPr id="9217" name="Content Placeholder 4"/>
        <xdr:cNvSpPr>
          <a:spLocks/>
        </xdr:cNvSpPr>
      </xdr:nvSpPr>
      <xdr:spPr bwMode="auto">
        <a:xfrm>
          <a:off x="180975" y="123825"/>
          <a:ext cx="9020175" cy="2543175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Sia dato un capitale di W(t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)=150€ in 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= 0 . Si determini l’interesse che esso produce in tre anni (t</a:t>
          </a:r>
          <a:r>
            <a:rPr lang="it-IT" sz="14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= 3 anni) se investito: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in regime di capitalizzazione esponenziale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(a) al tasso semestrale di interesse del 6%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(b) al tasso annuo di interesse dell’11,5%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(c) secondo una legge di intensità istantanea di interesse  = 0,12 anni^-1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in regime di capitalizzazione lineare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(d) al tasso semestrale di interesse del 6%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(e) al tasso annuo di interesse dell’11,5%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152399</xdr:rowOff>
    </xdr:from>
    <xdr:to>
      <xdr:col>7</xdr:col>
      <xdr:colOff>95250</xdr:colOff>
      <xdr:row>6</xdr:row>
      <xdr:rowOff>38100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295274" y="152399"/>
          <a:ext cx="8086726" cy="13144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Determinare l’intensità di rendimento a scadenza relativa al periodo (0, 1/2 ) anni per le leggi finanziarie lineare ed esponenziale, assumendo un tasso di interesse annuo pari a i = 2.3 %.</a:t>
          </a:r>
        </a:p>
      </xdr:txBody>
    </xdr:sp>
    <xdr:clientData/>
  </xdr:twoCellAnchor>
  <xdr:oneCellAnchor>
    <xdr:from>
      <xdr:col>1</xdr:col>
      <xdr:colOff>666749</xdr:colOff>
      <xdr:row>11</xdr:row>
      <xdr:rowOff>223837</xdr:rowOff>
    </xdr:from>
    <xdr:ext cx="4752975" cy="555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933449" y="2843212"/>
              <a:ext cx="4752975" cy="555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h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</m:den>
                    </m:f>
                    <m:func>
                      <m:func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600" b="0" i="0">
                            <a:latin typeface="Cambria Math"/>
                          </a:rPr>
                          <m:t>log</m:t>
                        </m:r>
                      </m:fName>
                      <m:e>
                        <m:r>
                          <a:rPr lang="it-IT" sz="1600" b="0" i="1">
                            <a:latin typeface="Cambria Math"/>
                          </a:rPr>
                          <m:t>𝑚</m:t>
                        </m:r>
                        <m:d>
                          <m:d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latin typeface="Cambria Math"/>
                              </a:rPr>
                              <m:t>𝑡</m:t>
                            </m:r>
                            <m:r>
                              <a:rPr lang="it-IT" sz="1600" b="0" i="1">
                                <a:latin typeface="Cambria Math"/>
                              </a:rPr>
                              <m:t>,</m:t>
                            </m:r>
                            <m:r>
                              <a:rPr lang="it-IT" sz="1600" b="0" i="1">
                                <a:latin typeface="Cambria Math"/>
                              </a:rPr>
                              <m:t>𝑠</m:t>
                            </m:r>
                          </m:e>
                        </m:d>
                        <m:r>
                          <a:rPr lang="it-IT" sz="1600" b="0" i="1">
                            <a:latin typeface="Cambria Math"/>
                          </a:rPr>
                          <m:t>=−</m:t>
                        </m:r>
                      </m:e>
                    </m:func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</m:den>
                    </m:f>
                    <m:func>
                      <m:func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it-IT" sz="1600" b="0" i="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log</m:t>
                        </m:r>
                      </m:fName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𝑣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933449" y="2843212"/>
              <a:ext cx="4752975" cy="555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latin typeface="Cambria Math"/>
                </a:rPr>
                <a:t>ℎ(𝑡,𝑠)=1/(𝑠−𝑡)  log⁡〖𝑚(𝑡,𝑠)=−〗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1/(𝑠−𝑡)  log⁡〖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𝑣(𝑡,𝑠)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95249</xdr:colOff>
      <xdr:row>16</xdr:row>
      <xdr:rowOff>109537</xdr:rowOff>
    </xdr:from>
    <xdr:ext cx="3352801" cy="3427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361949" y="3919537"/>
              <a:ext cx="3352801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it-IT" sz="1600" b="0" i="1">
                        <a:latin typeface="Cambria Math"/>
                      </a:rPr>
                      <m:t>m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</a:rPr>
                      <m:t>=1+</m:t>
                    </m:r>
                    <m:r>
                      <a:rPr lang="it-IT" sz="1600" b="0" i="1">
                        <a:latin typeface="Cambria Math"/>
                      </a:rPr>
                      <m:t>𝑖</m:t>
                    </m:r>
                    <m:r>
                      <a:rPr lang="it-IT" sz="1600" b="0" i="1">
                        <a:latin typeface="Cambria Math"/>
                      </a:rPr>
                      <m:t>(</m:t>
                    </m:r>
                    <m:r>
                      <a:rPr lang="it-IT" sz="1600" b="0" i="1">
                        <a:latin typeface="Cambria Math"/>
                      </a:rPr>
                      <m:t>𝑠</m:t>
                    </m:r>
                    <m:r>
                      <a:rPr lang="it-IT" sz="1600" b="0" i="1">
                        <a:latin typeface="Cambria Math"/>
                      </a:rPr>
                      <m:t>−</m:t>
                    </m:r>
                    <m:r>
                      <a:rPr lang="it-IT" sz="1600" b="0" i="1">
                        <a:latin typeface="Cambria Math"/>
                      </a:rPr>
                      <m:t>𝑡</m:t>
                    </m:r>
                    <m:r>
                      <a:rPr lang="it-IT" sz="16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361949" y="3919537"/>
              <a:ext cx="3352801" cy="3427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latin typeface="Cambria Math"/>
                </a:rPr>
                <a:t>m(𝑡,𝑠)=1+𝑖(𝑠−𝑡)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161924</xdr:colOff>
      <xdr:row>22</xdr:row>
      <xdr:rowOff>176212</xdr:rowOff>
    </xdr:from>
    <xdr:ext cx="3352801" cy="344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428624" y="5414962"/>
              <a:ext cx="3352801" cy="34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it-IT" sz="1600" b="0" i="1">
                        <a:latin typeface="Cambria Math"/>
                      </a:rPr>
                      <m:t>m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/>
                          </a:rPr>
                          <m:t>(1+</m:t>
                        </m:r>
                        <m:r>
                          <a:rPr lang="it-IT" sz="1600" b="0" i="1">
                            <a:latin typeface="Cambria Math"/>
                          </a:rPr>
                          <m:t>𝑖</m:t>
                        </m:r>
                        <m:r>
                          <a:rPr lang="it-IT" sz="1600" b="0" i="1">
                            <a:latin typeface="Cambria Math"/>
                          </a:rPr>
                          <m:t>)</m:t>
                        </m:r>
                      </m:e>
                      <m:sup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</m:sup>
                    </m:sSup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428624" y="5414962"/>
              <a:ext cx="3352801" cy="34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latin typeface="Cambria Math"/>
                </a:rPr>
                <a:t>m(𝑡,𝑠)=〖(1+𝑖)〗^(𝑠−𝑡)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5</xdr:col>
      <xdr:colOff>257174</xdr:colOff>
      <xdr:row>22</xdr:row>
      <xdr:rowOff>61912</xdr:rowOff>
    </xdr:from>
    <xdr:ext cx="5457826" cy="5550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5"/>
            <xdr:cNvSpPr txBox="1"/>
          </xdr:nvSpPr>
          <xdr:spPr>
            <a:xfrm>
              <a:off x="4124324" y="5300662"/>
              <a:ext cx="5457826" cy="555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it-IT" sz="1600" b="0" i="1">
                        <a:latin typeface="Cambria Math"/>
                      </a:rPr>
                      <m:t>h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6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r>
                              <a:rPr lang="it-IT" sz="1600" b="0" i="1">
                                <a:latin typeface="Cambria Math"/>
                              </a:rPr>
                              <m:t>𝑠</m:t>
                            </m:r>
                            <m:r>
                              <a:rPr lang="it-IT" sz="1600" b="0" i="1">
                                <a:latin typeface="Cambria Math"/>
                              </a:rPr>
                              <m:t>−</m:t>
                            </m:r>
                            <m:r>
                              <a:rPr lang="it-IT" sz="1600" b="0" i="1">
                                <a:latin typeface="Cambria Math"/>
                              </a:rPr>
                              <m:t>𝑡</m:t>
                            </m:r>
                          </m:den>
                        </m:f>
                        <m:r>
                          <a:rPr lang="it-IT" sz="1600" b="0" i="1">
                            <a:latin typeface="Cambria Math"/>
                          </a:rPr>
                          <m:t>𝑙𝑛</m:t>
                        </m:r>
                        <m:r>
                          <a:rPr lang="it-IT" sz="1600" b="0" i="1">
                            <a:latin typeface="Cambria Math"/>
                          </a:rPr>
                          <m:t>(1+</m:t>
                        </m:r>
                        <m:r>
                          <a:rPr lang="it-IT" sz="1600" b="0" i="1">
                            <a:latin typeface="Cambria Math"/>
                          </a:rPr>
                          <m:t>𝑖</m:t>
                        </m:r>
                        <m:r>
                          <a:rPr lang="it-IT" sz="1600" b="0" i="1">
                            <a:latin typeface="Cambria Math"/>
                          </a:rPr>
                          <m:t>)</m:t>
                        </m:r>
                      </m:e>
                      <m:sup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it-IT" sz="16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</m:den>
                    </m:f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</m:e>
                    </m:d>
                    <m:r>
                      <m:rPr>
                        <m:sty m:val="p"/>
                      </m:rPr>
                      <a:rPr lang="it-IT" sz="1600" b="0" i="0">
                        <a:latin typeface="Cambria Math"/>
                      </a:rPr>
                      <m:t>ln</m:t>
                    </m:r>
                    <m:r>
                      <a:rPr lang="it-IT" sz="1600" b="0" i="1">
                        <a:latin typeface="Cambria Math"/>
                      </a:rPr>
                      <m:t>⁡(1+</m:t>
                    </m:r>
                    <m:r>
                      <a:rPr lang="it-IT" sz="1600" b="0" i="1">
                        <a:latin typeface="Cambria Math"/>
                      </a:rPr>
                      <m:t>𝑖</m:t>
                    </m:r>
                    <m:r>
                      <a:rPr lang="it-IT" sz="16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6" name="CasellaDiTesto 5"/>
            <xdr:cNvSpPr txBox="1"/>
          </xdr:nvSpPr>
          <xdr:spPr>
            <a:xfrm>
              <a:off x="4124324" y="5300662"/>
              <a:ext cx="5457826" cy="5550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latin typeface="Cambria Math"/>
                </a:rPr>
                <a:t>h(𝑡,𝑠)=〖1/(𝑠−𝑡) 𝑙𝑛(1+𝑖)〗^(𝑠−𝑡)=1/(𝑠−𝑡) (𝑠−𝑡)ln⁡(1+𝑖)</a:t>
              </a:r>
              <a:endParaRPr lang="it-IT" sz="1600"/>
            </a:p>
          </xdr:txBody>
        </xdr:sp>
      </mc:Fallback>
    </mc:AlternateContent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695324</xdr:colOff>
      <xdr:row>2</xdr:row>
      <xdr:rowOff>85725</xdr:rowOff>
    </xdr:from>
    <xdr:to>
      <xdr:col>7</xdr:col>
      <xdr:colOff>819150</xdr:colOff>
      <xdr:row>11</xdr:row>
      <xdr:rowOff>19050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962024" y="561975"/>
          <a:ext cx="8143876" cy="2076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consideri, nell’istante di valutazione t = 0, un mercato descritto dalla funzione intensit`a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istantanea di interesse</a:t>
          </a:r>
        </a:p>
        <a:p>
          <a:pPr algn="ctr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  <a:sym typeface="Symbol"/>
            </a:rPr>
            <a:t>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(0, s) = a + bs + cs</a:t>
          </a:r>
          <a:r>
            <a:rPr lang="it-IT" sz="1600" b="0" i="0" u="none" strike="noStrike" baseline="30000">
              <a:solidFill>
                <a:srgbClr val="000000"/>
              </a:solidFill>
              <a:latin typeface="Calibri"/>
            </a:rPr>
            <a:t>3</a:t>
          </a: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essendo il tempo espresso in anni, con a = 0.00750 , b = 0.00030 e c = 0.00155 . Determinare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il fattore montante, il fattore di sconto, il tasso di sconto, l’intensità di interesse e di sconto 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l’intensità di rendimento a scadenza relativi al periodo (0, 1) anni.</a:t>
          </a:r>
        </a:p>
      </xdr:txBody>
    </xdr:sp>
    <xdr:clientData/>
  </xdr:twoCellAnchor>
  <xdr:oneCellAnchor>
    <xdr:from>
      <xdr:col>1</xdr:col>
      <xdr:colOff>95249</xdr:colOff>
      <xdr:row>20</xdr:row>
      <xdr:rowOff>100012</xdr:rowOff>
    </xdr:from>
    <xdr:ext cx="3362325" cy="4178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361949" y="4862512"/>
              <a:ext cx="3362325" cy="417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𝑚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e>
                      <m:sup>
                        <m:nary>
                          <m:naryPr>
                            <m:ctrlPr>
                              <a:rPr lang="it-IT" sz="16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600" b="0" i="1">
                                <a:latin typeface="Cambria Math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600" b="0" i="1">
                                <a:latin typeface="Cambria Math"/>
                              </a:rPr>
                              <m:t>𝑠</m:t>
                            </m:r>
                          </m:sup>
                          <m:e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𝛿</m:t>
                            </m:r>
                            <m:d>
                              <m:dPr>
                                <m:ctrlPr>
                                  <a:rPr lang="it-IT" sz="1600" b="0" i="1">
                                    <a:latin typeface="Cambria Math" panose="02040503050406030204" pitchFamily="18" charset="0"/>
                                    <a:ea typeface="Cambria Math"/>
                                  </a:rPr>
                                </m:ctrlPr>
                              </m:dPr>
                              <m:e>
                                <m:r>
                                  <a:rPr lang="it-IT" sz="1600" b="0" i="1">
                                    <a:latin typeface="Cambria Math"/>
                                    <a:ea typeface="Cambria Math"/>
                                  </a:rPr>
                                  <m:t>𝑡</m:t>
                                </m:r>
                                <m:r>
                                  <a:rPr lang="it-IT" sz="1600" b="0" i="1">
                                    <a:latin typeface="Cambria Math"/>
                                    <a:ea typeface="Cambria Math"/>
                                  </a:rPr>
                                  <m:t>,</m:t>
                                </m:r>
                                <m:r>
                                  <a:rPr lang="it-IT" sz="1600" b="0" i="1">
                                    <a:latin typeface="Cambria Math"/>
                                    <a:ea typeface="Cambria Math"/>
                                  </a:rPr>
                                  <m:t>𝑢</m:t>
                                </m:r>
                              </m:e>
                            </m:d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𝑑𝑢</m:t>
                            </m:r>
                          </m:e>
                        </m:nary>
                      </m:sup>
                    </m:sSup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361949" y="4862512"/>
              <a:ext cx="3362325" cy="4178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latin typeface="Cambria Math"/>
                </a:rPr>
                <a:t>𝑚(𝑡,𝑠)=𝑒^∫24_𝑡^𝑠▒</a:t>
              </a:r>
              <a:r>
                <a:rPr lang="it-IT" sz="1600" b="0" i="0">
                  <a:latin typeface="Cambria Math"/>
                  <a:ea typeface="Cambria Math"/>
                </a:rPr>
                <a:t>𝛿(𝑡,𝑢)𝑑𝑢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266699</xdr:colOff>
      <xdr:row>22</xdr:row>
      <xdr:rowOff>214312</xdr:rowOff>
    </xdr:from>
    <xdr:ext cx="3362325" cy="6257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533399" y="5453062"/>
              <a:ext cx="3362325" cy="625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p>
                      <m:e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d>
                          <m:d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,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</m:d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𝑑𝑢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</m:t>
                        </m:r>
                        <m:nary>
                          <m:nary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𝑡</m:t>
                            </m:r>
                          </m:sub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sup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𝑏𝑢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  <m:sSup>
                              <m:sSup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)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𝑑𝑢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533399" y="5453062"/>
              <a:ext cx="3362325" cy="6257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∫_𝑡^𝑠▒〖𝛿(𝑡,𝑢)𝑑𝑢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=∫24_𝑡^𝑠▒〖(𝑎+𝑏𝑢+𝑐𝑢^3)𝑑𝑢〗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123825</xdr:colOff>
      <xdr:row>28</xdr:row>
      <xdr:rowOff>23812</xdr:rowOff>
    </xdr:from>
    <xdr:ext cx="6124575" cy="7085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5"/>
            <xdr:cNvSpPr txBox="1"/>
          </xdr:nvSpPr>
          <xdr:spPr>
            <a:xfrm>
              <a:off x="390525" y="6691312"/>
              <a:ext cx="6124575" cy="7085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0</m:t>
                        </m:r>
                      </m:sub>
                      <m:sup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sup>
                      <m:e>
                        <m:d>
                          <m:d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𝑏𝑢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𝑐</m:t>
                            </m:r>
                            <m:sSup>
                              <m:sSupPr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p>
                            </m:sSup>
                          </m:e>
                        </m:d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𝑑𝑢</m:t>
                        </m:r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=</m:t>
                        </m:r>
                        <m:sSubSup>
                          <m:sSub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d>
                              <m:dPr>
                                <m:begChr m:val=""/>
                                <m:endChr m:val="|"/>
                                <m:ctrlP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𝑎𝑢</m:t>
                                </m:r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𝑏</m:t>
                                </m:r>
                                <m:f>
                                  <m:fPr>
                                    <m:ctrlP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𝑢</m:t>
                                        </m:r>
                                      </m:e>
                                      <m:sup>
                                        <m: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r>
                                  <a:rPr lang="it-IT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  <m:f>
                                  <m:fPr>
                                    <m:ctrlP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𝑢</m:t>
                                        </m:r>
                                      </m:e>
                                      <m:sup>
                                        <m:r>
                                          <a:rPr lang="it-IT" sz="16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4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it-IT" sz="16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4</m:t>
                                    </m:r>
                                  </m:den>
                                </m:f>
                              </m:e>
                            </m:d>
                          </m:e>
                          <m:sub/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sup>
                        </m:sSubSup>
                      </m:e>
                    </m:nary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=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𝑎𝑠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𝑏</m:t>
                    </m:r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r>
                      <a:rPr lang="it-IT" sz="16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𝑐</m:t>
                    </m:r>
                    <m:f>
                      <m:fPr>
                        <m:ctrlP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e>
                          <m:sup>
                            <m:r>
                              <a:rPr lang="it-IT" sz="16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r>
                          <a:rPr lang="it-IT" sz="16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6" name="CasellaDiTesto 5"/>
            <xdr:cNvSpPr txBox="1"/>
          </xdr:nvSpPr>
          <xdr:spPr>
            <a:xfrm>
              <a:off x="390525" y="6691312"/>
              <a:ext cx="6124575" cy="7085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∫_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^𝑠▒〖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𝑎+𝑏𝑢+𝑐𝑢^3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)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𝑑𝑢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=├ 𝑎𝑢+𝑏 𝑢^2/2+𝑐 𝑢^4/4┤|_^𝑠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〗</a:t>
              </a:r>
              <a:r>
                <a:rPr lang="it-IT" sz="16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=𝑎𝑠+𝑏 𝑠^2/2+𝑐 𝑠^4/4</a:t>
              </a:r>
              <a:endParaRPr lang="it-IT" sz="1600"/>
            </a:p>
          </xdr:txBody>
        </xdr:sp>
      </mc:Fallback>
    </mc:AlternateContent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123824</xdr:rowOff>
    </xdr:from>
    <xdr:to>
      <xdr:col>7</xdr:col>
      <xdr:colOff>304800</xdr:colOff>
      <xdr:row>7</xdr:row>
      <xdr:rowOff>209550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190499" y="123824"/>
          <a:ext cx="8401051" cy="17526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consideri, nell’istante di valutazione t = 0, la legge finanziaria definita dall’intensità di rendimento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a scadenza</a:t>
          </a:r>
        </a:p>
        <a:p>
          <a:pPr algn="ctr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h(0, s) = a + bs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dove il tempo è misurato in anni e a = 0.0015 , b = 0.00075 . Si determinino il fattore di sconto,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il fattore montante, il tasso di sconto e di interesse e l’intensità istantanea di interesse relativi al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periodo (0, 6 mesi).</a:t>
          </a:r>
        </a:p>
      </xdr:txBody>
    </xdr:sp>
    <xdr:clientData/>
  </xdr:twoCellAnchor>
  <xdr:oneCellAnchor>
    <xdr:from>
      <xdr:col>1</xdr:col>
      <xdr:colOff>123824</xdr:colOff>
      <xdr:row>18</xdr:row>
      <xdr:rowOff>100012</xdr:rowOff>
    </xdr:from>
    <xdr:ext cx="2790825" cy="3583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390524" y="4386262"/>
              <a:ext cx="2790825" cy="3583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b="0" i="1">
                        <a:latin typeface="Cambria Math"/>
                      </a:rPr>
                      <m:t>𝑣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</a:rPr>
                      <m:t>=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h</m:t>
                        </m:r>
                        <m:r>
                          <a:rPr lang="it-IT" sz="1600" b="0" i="1">
                            <a:latin typeface="Cambria Math"/>
                          </a:rPr>
                          <m:t>(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)(</m:t>
                        </m:r>
                        <m:r>
                          <a:rPr lang="it-IT" sz="1600" b="0" i="1">
                            <a:latin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</a:rPr>
                          <m:t>)</m:t>
                        </m:r>
                      </m:sup>
                    </m:sSup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390524" y="4386262"/>
              <a:ext cx="2790825" cy="3583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b="0" i="0">
                  <a:latin typeface="Cambria Math"/>
                </a:rPr>
                <a:t>𝑣(𝑡,𝑠)=𝑒^(−ℎ(𝑡,𝑠)(𝑠−𝑡))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1</xdr:col>
      <xdr:colOff>28574</xdr:colOff>
      <xdr:row>28</xdr:row>
      <xdr:rowOff>214311</xdr:rowOff>
    </xdr:from>
    <xdr:ext cx="6677026" cy="5606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/>
            <xdr:cNvSpPr txBox="1"/>
          </xdr:nvSpPr>
          <xdr:spPr>
            <a:xfrm>
              <a:off x="295274" y="6881811"/>
              <a:ext cx="6677026" cy="5606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i="1">
                        <a:latin typeface="Cambria Math"/>
                        <a:ea typeface="Cambria Math"/>
                      </a:rPr>
                      <m:t>𝛿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  <a:ea typeface="Cambria Math"/>
                      </a:rPr>
                      <m:t>=−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den>
                    </m:f>
                    <m:r>
                      <a:rPr lang="it-IT" sz="1600" b="0" i="1">
                        <a:latin typeface="Cambria Math"/>
                        <a:ea typeface="Cambria Math"/>
                      </a:rPr>
                      <m:t>𝑙𝑛𝑣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  <a:ea typeface="Cambria Math"/>
                      </a:rPr>
                      <m:t>=−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den>
                    </m:f>
                    <m:r>
                      <a:rPr lang="it-IT" sz="1600" b="0" i="1">
                        <a:latin typeface="Cambria Math"/>
                        <a:ea typeface="Cambria Math"/>
                      </a:rPr>
                      <m:t>𝑙𝑛</m:t>
                    </m:r>
                    <m:sSup>
                      <m:sSup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sSup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𝑒</m:t>
                        </m:r>
                      </m:e>
                      <m:sup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h</m:t>
                        </m:r>
                        <m:d>
                          <m:dPr>
                            <m:ctrlPr>
                              <a:rPr lang="it-IT" sz="16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,</m:t>
                            </m:r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𝑠</m:t>
                            </m:r>
                          </m:e>
                        </m:d>
                        <m:d>
                          <m:dPr>
                            <m:ctrlPr>
                              <a:rPr lang="it-IT" sz="16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dPr>
                          <m:e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𝑠</m:t>
                            </m:r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−</m:t>
                            </m:r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𝑡</m:t>
                            </m:r>
                          </m:e>
                        </m:d>
                      </m:sup>
                    </m:sSup>
                    <m:r>
                      <a:rPr lang="it-IT" sz="16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h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,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)(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−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𝑡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)</m:t>
                        </m:r>
                      </m:e>
                    </m:d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295274" y="6881811"/>
              <a:ext cx="6677026" cy="5606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i="0">
                  <a:latin typeface="Cambria Math"/>
                  <a:ea typeface="Cambria Math"/>
                </a:rPr>
                <a:t>𝛿</a:t>
              </a:r>
              <a:r>
                <a:rPr lang="it-IT" sz="1600" b="0" i="0">
                  <a:latin typeface="Cambria Math"/>
                  <a:ea typeface="Cambria Math"/>
                </a:rPr>
                <a:t>(𝑡,𝑠)=−𝜕/𝜕𝑠 𝑙𝑛𝑣(𝑡,𝑠)=−𝜕/𝜕𝑠 𝑙𝑛𝑒^(−ℎ(𝑡,𝑠)(𝑠−𝑡) )=𝜕/𝜕𝑠 [ℎ(𝑡,𝑠)(𝑠−𝑡)]</a:t>
              </a:r>
              <a:endParaRPr lang="it-IT" sz="1600"/>
            </a:p>
          </xdr:txBody>
        </xdr:sp>
      </mc:Fallback>
    </mc:AlternateContent>
    <xdr:clientData/>
  </xdr:oneCellAnchor>
  <xdr:oneCellAnchor>
    <xdr:from>
      <xdr:col>0</xdr:col>
      <xdr:colOff>123825</xdr:colOff>
      <xdr:row>33</xdr:row>
      <xdr:rowOff>119061</xdr:rowOff>
    </xdr:from>
    <xdr:ext cx="5686425" cy="5762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123825" y="7977186"/>
              <a:ext cx="5686425" cy="576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600" i="1">
                        <a:latin typeface="Cambria Math"/>
                        <a:ea typeface="Cambria Math"/>
                      </a:rPr>
                      <m:t>𝛿</m:t>
                    </m:r>
                    <m:d>
                      <m:d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0,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(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𝑎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𝑏𝑠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)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e>
                    </m:d>
                    <m:r>
                      <a:rPr lang="it-IT" sz="16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</m:num>
                      <m:den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𝜕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𝑠</m:t>
                        </m:r>
                      </m:den>
                    </m:f>
                    <m:d>
                      <m:dPr>
                        <m:begChr m:val="["/>
                        <m:endChr m:val="]"/>
                        <m:ctrlPr>
                          <a:rPr lang="it-IT" sz="16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dPr>
                      <m:e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𝑎𝑠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+</m:t>
                        </m:r>
                        <m:r>
                          <a:rPr lang="it-IT" sz="1600" b="0" i="1">
                            <a:latin typeface="Cambria Math"/>
                            <a:ea typeface="Cambria Math"/>
                          </a:rPr>
                          <m:t>𝑏</m:t>
                        </m:r>
                        <m:sSup>
                          <m:sSupPr>
                            <m:ctrlPr>
                              <a:rPr lang="it-IT" sz="16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𝑠</m:t>
                            </m:r>
                          </m:e>
                          <m:sup>
                            <m:r>
                              <a:rPr lang="it-IT" sz="1600" b="0" i="1">
                                <a:latin typeface="Cambria Math"/>
                                <a:ea typeface="Cambria Math"/>
                              </a:rPr>
                              <m:t>2</m:t>
                            </m:r>
                          </m:sup>
                        </m:sSup>
                      </m:e>
                    </m:d>
                    <m:r>
                      <a:rPr lang="it-IT" sz="1600" b="0" i="1">
                        <a:latin typeface="Cambria Math"/>
                        <a:ea typeface="Cambria Math"/>
                      </a:rPr>
                      <m:t>=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𝑎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+2</m:t>
                    </m:r>
                    <m:r>
                      <a:rPr lang="it-IT" sz="1600" b="0" i="1">
                        <a:latin typeface="Cambria Math"/>
                        <a:ea typeface="Cambria Math"/>
                      </a:rPr>
                      <m:t>𝑏𝑠</m:t>
                    </m:r>
                  </m:oMath>
                </m:oMathPara>
              </a14:m>
              <a:endParaRPr lang="it-IT" sz="160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123825" y="7977186"/>
              <a:ext cx="5686425" cy="57624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it-IT" sz="1600" i="0">
                  <a:latin typeface="Cambria Math"/>
                  <a:ea typeface="Cambria Math"/>
                </a:rPr>
                <a:t>𝛿</a:t>
              </a:r>
              <a:r>
                <a:rPr lang="it-IT" sz="1600" b="0" i="0">
                  <a:latin typeface="Cambria Math"/>
                  <a:ea typeface="Cambria Math"/>
                </a:rPr>
                <a:t>(0,𝑠)=𝜕/𝜕𝑠 [(𝑎+𝑏𝑠)𝑠]=𝜕/𝜕𝑠 [𝑎𝑠+𝑏𝑠^2 ]=𝑎+2𝑏𝑠</a:t>
              </a:r>
              <a:endParaRPr lang="it-IT" sz="16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409574</xdr:colOff>
      <xdr:row>0</xdr:row>
      <xdr:rowOff>66675</xdr:rowOff>
    </xdr:from>
    <xdr:to>
      <xdr:col>11</xdr:col>
      <xdr:colOff>266699</xdr:colOff>
      <xdr:row>6</xdr:row>
      <xdr:rowOff>57150</xdr:rowOff>
    </xdr:to>
    <xdr:sp macro="" textlink="">
      <xdr:nvSpPr>
        <xdr:cNvPr id="11" name="Content Placeholder 4"/>
        <xdr:cNvSpPr>
          <a:spLocks/>
        </xdr:cNvSpPr>
      </xdr:nvSpPr>
      <xdr:spPr bwMode="auto">
        <a:xfrm>
          <a:off x="533399" y="66675"/>
          <a:ext cx="8848725" cy="1133475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+mn-lt"/>
            </a:rPr>
            <a:t>Si consideri l'operazione finanziaria consistente nell'investire all'istante t=0 la somma x</a:t>
          </a:r>
          <a:r>
            <a:rPr lang="it-IT" sz="1500" b="0" i="0" u="none" strike="noStrike" baseline="-25000">
              <a:solidFill>
                <a:srgbClr val="000000"/>
              </a:solidFill>
              <a:latin typeface="+mn-lt"/>
            </a:rPr>
            <a:t>t</a:t>
          </a:r>
          <a:r>
            <a:rPr lang="it-IT" sz="1500" b="0" i="0" u="none" strike="noStrike" baseline="0">
              <a:solidFill>
                <a:srgbClr val="000000"/>
              </a:solidFill>
              <a:latin typeface="+mn-lt"/>
            </a:rPr>
            <a:t>=120 € per rientrare in possesso all'istante s&gt;t della somma x</a:t>
          </a:r>
          <a:r>
            <a:rPr lang="it-IT" sz="1500" b="0" i="0" u="none" strike="noStrike" baseline="-25000">
              <a:solidFill>
                <a:srgbClr val="000000"/>
              </a:solidFill>
              <a:latin typeface="+mn-lt"/>
            </a:rPr>
            <a:t>s</a:t>
          </a:r>
          <a:r>
            <a:rPr lang="it-IT" sz="1500" b="0" i="0" u="none" strike="noStrike" baseline="0">
              <a:solidFill>
                <a:srgbClr val="000000"/>
              </a:solidFill>
              <a:latin typeface="+mn-lt"/>
            </a:rPr>
            <a:t>=m(t,s)x</a:t>
          </a:r>
          <a:r>
            <a:rPr lang="it-IT" sz="1500" b="0" i="0" u="none" strike="noStrike" baseline="-25000">
              <a:solidFill>
                <a:srgbClr val="000000"/>
              </a:solidFill>
              <a:latin typeface="+mn-lt"/>
            </a:rPr>
            <a:t>t</a:t>
          </a:r>
          <a:r>
            <a:rPr lang="it-IT" sz="1500" b="0" i="0" u="none" strike="noStrike" baseline="0">
              <a:solidFill>
                <a:srgbClr val="000000"/>
              </a:solidFill>
              <a:latin typeface="+mn-lt"/>
            </a:rPr>
            <a:t>, essendo il tempo misurato in anni. Se il tasso di interesse annuo è pari a i(0,1)=2%, si valuti la somma x</a:t>
          </a:r>
          <a:r>
            <a:rPr lang="it-IT" sz="1500" b="0" i="0" u="none" strike="noStrike" baseline="-25000">
              <a:solidFill>
                <a:srgbClr val="000000"/>
              </a:solidFill>
              <a:latin typeface="+mn-lt"/>
            </a:rPr>
            <a:t>s</a:t>
          </a:r>
          <a:r>
            <a:rPr lang="it-IT" sz="1500" b="0" i="0" u="none" strike="noStrike" baseline="0">
              <a:solidFill>
                <a:srgbClr val="000000"/>
              </a:solidFill>
              <a:latin typeface="+mn-lt"/>
            </a:rPr>
            <a:t>, secondo le leggi di capitalizzazione lineare ed esponenziale, per s=3 mesi e s=2 anni. </a:t>
          </a: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8</xdr:col>
      <xdr:colOff>1066800</xdr:colOff>
      <xdr:row>23</xdr:row>
      <xdr:rowOff>123825</xdr:rowOff>
    </xdr:to>
    <xdr:sp macro="" textlink="">
      <xdr:nvSpPr>
        <xdr:cNvPr id="13322" name="Content Placeholder 4"/>
        <xdr:cNvSpPr>
          <a:spLocks/>
        </xdr:cNvSpPr>
      </xdr:nvSpPr>
      <xdr:spPr bwMode="auto">
        <a:xfrm>
          <a:off x="171450" y="219075"/>
          <a:ext cx="9048750" cy="4286250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Sia dato un contratto finanziario che in t0 = 0 abbia valore W(t0) = 97,8 € e dopo 95 giorni abbia valore 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W(t1)=101,5 €. Relativamente al periodo [0; 95],calcolare: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l’interesse (in €)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il tasso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il tasso di sconto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l’intensità di interesse (in giorni^−1)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(e) l’intensità di sconto (in giorni^−1)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esponenziale e misurando l’anno in giorni effettivi 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(365), 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(f) il tasso annuo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(f1) l’intensità istantanea di interesse su base annua (in anni^−1)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(g) il tasso semestrale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(g1) l’intensità istantanea di interesse su base semestrale (in semestri^−1)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lineare e misurando l’anno in giorni effettivi, 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(h) il tasso annuo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(i) il tasso semestrale di interesse (%)</a:t>
          </a:r>
        </a:p>
        <a:p>
          <a:pPr algn="l" rtl="0">
            <a:defRPr sz="1000"/>
          </a:pPr>
          <a:endParaRPr lang="it-IT" sz="14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0</xdr:row>
      <xdr:rowOff>95249</xdr:rowOff>
    </xdr:from>
    <xdr:to>
      <xdr:col>10</xdr:col>
      <xdr:colOff>38100</xdr:colOff>
      <xdr:row>24</xdr:row>
      <xdr:rowOff>57149</xdr:rowOff>
    </xdr:to>
    <xdr:sp macro="" textlink="">
      <xdr:nvSpPr>
        <xdr:cNvPr id="2058" name="Content Placeholder 4"/>
        <xdr:cNvSpPr>
          <a:spLocks/>
        </xdr:cNvSpPr>
      </xdr:nvSpPr>
      <xdr:spPr bwMode="auto">
        <a:xfrm>
          <a:off x="438149" y="95249"/>
          <a:ext cx="10287001" cy="4429125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Determinare il valore W(t0) in t0 = 0 di un contratto finanziario che in t1 = 120 giorni garantisce 100 €, in modo che il tasso di interesse relativo al periodo [0; 120] sia del 3,63%.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W(t0) 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Relativamente al periodo [0; 120] , 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l’interesse (in €)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il tasso di sconto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l’intensità di interesse (in giorni^−1)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(e) l’intensità di sconto (in giorni^−1)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esponenziale e misurando l’anno in giorni effettivi (365), 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(f) il tasso annuo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(f1) l’intensità istantanea di interesse su base annua (in anni^−1)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(g) il tasso semestrale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(g1) l’intensità istantanea di interesse su base semestrale (in semestri^−1)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Ipotizzando una sottostante legge di capitalizzazione lineare e misurando l’anno in giorni effettivi, calcolare: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(h) il tasso annuo di interesse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(i) il tasso semestrale di interesse (%)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8</xdr:col>
      <xdr:colOff>1609725</xdr:colOff>
      <xdr:row>22</xdr:row>
      <xdr:rowOff>104775</xdr:rowOff>
    </xdr:to>
    <xdr:sp macro="" textlink="">
      <xdr:nvSpPr>
        <xdr:cNvPr id="3082" name="Content Placeholder 4"/>
        <xdr:cNvSpPr>
          <a:spLocks/>
        </xdr:cNvSpPr>
      </xdr:nvSpPr>
      <xdr:spPr bwMode="auto">
        <a:xfrm>
          <a:off x="28575" y="19050"/>
          <a:ext cx="8648700" cy="4276725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Determinare il pagamento W(t1) che deve prevedere in t1 = 150 giorni un contratto finanziario, che in 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t0 = 0 giorni  vale 100 €, in modo che il tasso di interesse relativo al periodo [0; 150] sia del 4,25%.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(a) W(t1) 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Relativamente al periodo [0; 150] , calcolare: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(b) l’interesse (in €)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(c) il tasso di sconto (%)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(d) l’intensità di interesse (in giorni^−1)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(e) l’intensità di sconto (in giorni^−1)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Ipotizzando una sottostante legge di capitalizzazione esponenziale e misurando l’anno in giorni effettivi 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(365), calcolare: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(f) il tasso annuo di interesse (%)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(f1) l’intensità istantanea di interesse su base annua (in anni^−1)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(g) il tasso semestrale di interesse (%)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(g1) l’intensità istantanea di interesse su base semestrale (in semestri^−1)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Ipotizzando una sottostante legge di capitalizzazione lineare e misurando l’anno in giorni effettivi, 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calcolare: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 (h) il tasso annuo di interesse (%)</a:t>
          </a:r>
        </a:p>
        <a:p>
          <a:pPr algn="l" rtl="0">
            <a:defRPr sz="1000"/>
          </a:pPr>
          <a:r>
            <a:rPr lang="it-IT" sz="15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(i) il tasso semestrale di interesse (%)</a:t>
          </a:r>
        </a:p>
        <a:p>
          <a:pPr algn="l" rtl="0">
            <a:defRPr sz="1000"/>
          </a:pPr>
          <a:endParaRPr lang="it-IT" sz="13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73817</xdr:colOff>
      <xdr:row>0</xdr:row>
      <xdr:rowOff>26194</xdr:rowOff>
    </xdr:from>
    <xdr:to>
      <xdr:col>7</xdr:col>
      <xdr:colOff>714374</xdr:colOff>
      <xdr:row>19</xdr:row>
      <xdr:rowOff>47625</xdr:rowOff>
    </xdr:to>
    <xdr:sp macro="" textlink="">
      <xdr:nvSpPr>
        <xdr:cNvPr id="4123" name="Content Placeholder 4"/>
        <xdr:cNvSpPr>
          <a:spLocks/>
        </xdr:cNvSpPr>
      </xdr:nvSpPr>
      <xdr:spPr bwMode="auto">
        <a:xfrm>
          <a:off x="73817" y="26194"/>
          <a:ext cx="9155907" cy="3640931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Sia data l’operazione finanziaria {x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}/ {t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 con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- 98 euro,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 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= 102 euro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 0,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4 mesi. In regime di capitalizzazione esponenziale calcolare relativamente all’operazione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Il tasso annuo di interesse 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il tasso semestrale di interesse  (%)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In regime di capitalizzazione lineare calcolare relativamente all’operazione: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Il tasso annuo di interesse 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il tasso semestrale di interesse  (%)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supponga di aggiungere all’operazione un importo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 100 euro al tempo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9 mesi. Determinare l’importo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che bisogna aggiungere al tempo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7 mesi affinché l’operazione {x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}/ {t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 sia ancora equa secondo la legge di capitalizzazione esponenziale allo stesso tasso dell’operazione di partenza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(e) 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Importo da aggiungere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0</xdr:row>
      <xdr:rowOff>47625</xdr:rowOff>
    </xdr:from>
    <xdr:to>
      <xdr:col>6</xdr:col>
      <xdr:colOff>1142999</xdr:colOff>
      <xdr:row>19</xdr:row>
      <xdr:rowOff>95250</xdr:rowOff>
    </xdr:to>
    <xdr:sp macro="" textlink="">
      <xdr:nvSpPr>
        <xdr:cNvPr id="5147" name="Content Placeholder 4"/>
        <xdr:cNvSpPr>
          <a:spLocks/>
        </xdr:cNvSpPr>
      </xdr:nvSpPr>
      <xdr:spPr bwMode="auto">
        <a:xfrm>
          <a:off x="147637" y="47625"/>
          <a:ext cx="9043987" cy="3667125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Sia data l’operazione finanziaria {x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}/ {t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 con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-102 euro, x1 = 107 lire,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0,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5 mesi. In regime di capitalizzazione esponenziale calcolare relativamente all’operazione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(a) Il tasso annuo di interesse 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(b) il tasso semestrale di interesse  (%)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In regime di capitalizzazione lineare calcolare relativamente all’operazione: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(c) Il tasso annuo di interesse  (%)</a:t>
          </a: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(d) il tasso semestrale di interesse  (%)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Si supponga di aggiungere all’operazione un importo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 80 euro al tempo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7 mesi. Determinare l’importo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che bisogna aggiungere al tempo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 = 9 mesi affinché l’operazione {x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}/ {t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0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1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2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, t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} sia ancora equa secondo la legge di capitalizzazione esponenziale  allo stesso tasso dell’operazione di partenza</a:t>
          </a:r>
        </a:p>
        <a:p>
          <a:pPr algn="l" rtl="0">
            <a:defRPr sz="1000"/>
          </a:pPr>
          <a:r>
            <a:rPr lang="it-IT" sz="1400" b="0" i="0" u="none" strike="noStrike" baseline="0">
              <a:solidFill>
                <a:srgbClr val="000000"/>
              </a:solidFill>
              <a:latin typeface="Calibri"/>
            </a:rPr>
            <a:t>(e) </a:t>
          </a:r>
          <a:r>
            <a:rPr lang="it-IT" sz="1600" b="0" i="0" u="none" strike="noStrike" baseline="0">
              <a:solidFill>
                <a:srgbClr val="000000"/>
              </a:solidFill>
              <a:latin typeface="Calibri"/>
            </a:rPr>
            <a:t>Importo da aggiungere x</a:t>
          </a:r>
          <a:r>
            <a:rPr lang="it-IT" sz="1600" b="0" i="0" u="none" strike="noStrike" baseline="-25000">
              <a:solidFill>
                <a:srgbClr val="000000"/>
              </a:solidFill>
              <a:latin typeface="Calibri"/>
            </a:rPr>
            <a:t>3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156632</xdr:colOff>
      <xdr:row>0</xdr:row>
      <xdr:rowOff>29633</xdr:rowOff>
    </xdr:from>
    <xdr:to>
      <xdr:col>6</xdr:col>
      <xdr:colOff>1536699</xdr:colOff>
      <xdr:row>24</xdr:row>
      <xdr:rowOff>0</xdr:rowOff>
    </xdr:to>
    <xdr:sp macro="" textlink="">
      <xdr:nvSpPr>
        <xdr:cNvPr id="6171" name="Content Placeholder 4"/>
        <xdr:cNvSpPr>
          <a:spLocks/>
        </xdr:cNvSpPr>
      </xdr:nvSpPr>
      <xdr:spPr bwMode="auto">
        <a:xfrm>
          <a:off x="156632" y="29633"/>
          <a:ext cx="10181167" cy="4694767"/>
        </a:xfrm>
        <a:prstGeom prst="rect">
          <a:avLst/>
        </a:prstGeom>
        <a:solidFill>
          <a:srgbClr val="FFFFFF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Sia data l’operazione finanziaria {x0, x1}/ {t0, t1} con x0 = -102 euro, x1 = 107euro, t0  =  0, t1  =  140 giorni. Assumendo la durata commerciale dell’anno (360 giorni) e del mese (30 giorni) , in regime di capitalizzazione  esponenziale calcolare relativamente all’operazione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(a) L’intensità istantanea di interesse su base annua;  (anni-1 )                                                                                    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(b) Il tasso semestrale di interesse;   (%)                                                      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(c)Il tasso mensile di interesse    (%)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In regime di capitalizzazione lineare calcolare relativamente all’operazione: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(d) Il tasso annuo di interesse  (%)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(e) il tasso semestrale di interesse  (%)</a:t>
          </a:r>
        </a:p>
        <a:p>
          <a:pPr marL="0" indent="0" algn="l" rtl="0">
            <a:defRPr sz="1000"/>
          </a:pPr>
          <a:endParaRPr lang="it-IT" sz="1800" b="0" i="0" u="none" strike="noStrike" baseline="0">
            <a:solidFill>
              <a:srgbClr val="000000"/>
            </a:solidFill>
            <a:latin typeface="Calibri"/>
            <a:ea typeface="+mn-ea"/>
            <a:cs typeface="+mn-cs"/>
          </a:endParaRP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Si supponga di aggiungere all’operazione un importo x2 =  50 euro al tempo t2 =  180 giorni. Determinare l’importo x3 che bisogna aggiungere al tempo t3 = 210 giorni affinché l’operazione {x0,  x1,  x2,  x3}/ {t0, t1, t2, t3}  sia ancora equa secondo la legge di capitalizzazione esponenziale allo stesso tasso dell’operazione di partenza</a:t>
          </a:r>
        </a:p>
        <a:p>
          <a:pPr marL="0" indent="0" algn="l" rtl="0">
            <a:defRPr sz="1000"/>
          </a:pPr>
          <a:r>
            <a:rPr lang="it-IT" sz="1800" b="0" i="0" u="none" strike="noStrike" baseline="0">
              <a:solidFill>
                <a:srgbClr val="000000"/>
              </a:solidFill>
              <a:latin typeface="Calibri"/>
              <a:ea typeface="+mn-ea"/>
              <a:cs typeface="+mn-cs"/>
            </a:rPr>
            <a:t>(f) Importo da aggiungere x3</a:t>
          </a:r>
        </a:p>
        <a:p>
          <a:pPr algn="l" rtl="0">
            <a:defRPr sz="1000"/>
          </a:pPr>
          <a:endParaRPr lang="it-IT" sz="16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4"/>
  <sheetViews>
    <sheetView view="pageBreakPreview" topLeftCell="A12" zoomScale="60" zoomScaleNormal="100" workbookViewId="0">
      <selection activeCell="C30" sqref="C30:M31"/>
    </sheetView>
  </sheetViews>
  <sheetFormatPr defaultRowHeight="15" x14ac:dyDescent="0.25"/>
  <cols>
    <col min="3" max="3" width="16.5703125" bestFit="1" customWidth="1"/>
    <col min="4" max="4" width="18" bestFit="1" customWidth="1"/>
  </cols>
  <sheetData>
    <row r="2" spans="2:13" x14ac:dyDescent="0.25">
      <c r="B2" s="149" t="s">
        <v>171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2:13" x14ac:dyDescent="0.25"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x14ac:dyDescent="0.2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3" x14ac:dyDescent="0.2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x14ac:dyDescent="0.25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2:13" x14ac:dyDescent="0.25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2:13" x14ac:dyDescent="0.25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2:13" x14ac:dyDescent="0.25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2:13" x14ac:dyDescent="0.25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2:13" x14ac:dyDescent="0.25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2:13" x14ac:dyDescent="0.25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5" spans="2:13" ht="21" x14ac:dyDescent="0.35">
      <c r="C15" s="37" t="s">
        <v>172</v>
      </c>
      <c r="D15" s="125">
        <v>10000</v>
      </c>
      <c r="E15" s="31"/>
      <c r="F15" s="31"/>
      <c r="G15" s="31"/>
      <c r="H15" s="31"/>
      <c r="I15" s="31"/>
      <c r="J15" s="31"/>
      <c r="K15" s="31"/>
      <c r="L15" s="31"/>
    </row>
    <row r="16" spans="2:13" ht="21" x14ac:dyDescent="0.35">
      <c r="C16" s="37" t="s">
        <v>12</v>
      </c>
      <c r="D16" s="36">
        <f>1+3/12</f>
        <v>1.25</v>
      </c>
      <c r="E16" s="31"/>
      <c r="F16" s="31"/>
      <c r="G16" s="31"/>
      <c r="H16" s="31"/>
      <c r="I16" s="31"/>
      <c r="J16" s="31"/>
      <c r="K16" s="31"/>
      <c r="L16" s="31"/>
    </row>
    <row r="17" spans="3:12" ht="21" x14ac:dyDescent="0.35">
      <c r="C17" s="37" t="s">
        <v>68</v>
      </c>
      <c r="D17" s="125">
        <v>840</v>
      </c>
      <c r="E17" s="31"/>
      <c r="F17" s="31"/>
      <c r="G17" s="31"/>
      <c r="H17" s="31"/>
      <c r="I17" s="31"/>
      <c r="J17" s="31"/>
      <c r="K17" s="31"/>
      <c r="L17" s="31"/>
    </row>
    <row r="18" spans="3:12" ht="21" x14ac:dyDescent="0.35">
      <c r="C18" s="37"/>
      <c r="D18" s="36"/>
      <c r="E18" s="31"/>
      <c r="F18" s="31"/>
      <c r="G18" s="31"/>
      <c r="H18" s="31"/>
      <c r="I18" s="31"/>
      <c r="J18" s="31"/>
      <c r="K18" s="31"/>
      <c r="L18" s="31"/>
    </row>
    <row r="19" spans="3:12" ht="21" x14ac:dyDescent="0.35">
      <c r="C19" s="37" t="s">
        <v>80</v>
      </c>
      <c r="D19" s="126">
        <f>7.1%</f>
        <v>7.0999999999999994E-2</v>
      </c>
      <c r="E19" s="31"/>
      <c r="F19" s="31"/>
      <c r="G19" s="31"/>
      <c r="H19" s="31"/>
      <c r="I19" s="31"/>
      <c r="J19" s="31"/>
      <c r="K19" s="31"/>
      <c r="L19" s="31"/>
    </row>
    <row r="20" spans="3:12" ht="21" x14ac:dyDescent="0.35"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3:12" ht="21" x14ac:dyDescent="0.35"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3:12" ht="21" x14ac:dyDescent="0.35">
      <c r="C22" s="68" t="s">
        <v>96</v>
      </c>
      <c r="D22" s="127">
        <f>D15+D17</f>
        <v>10840</v>
      </c>
      <c r="E22" s="31"/>
      <c r="F22" s="31"/>
      <c r="G22" s="31"/>
      <c r="H22" s="31"/>
      <c r="I22" s="31"/>
      <c r="J22" s="31"/>
      <c r="K22" s="31"/>
      <c r="L22" s="31"/>
    </row>
    <row r="23" spans="3:12" ht="21" x14ac:dyDescent="0.35">
      <c r="C23" s="68" t="s">
        <v>138</v>
      </c>
      <c r="D23" s="128">
        <f>D17/D15</f>
        <v>8.4000000000000005E-2</v>
      </c>
      <c r="E23" s="31"/>
      <c r="F23" s="31"/>
      <c r="G23" s="31"/>
      <c r="H23" s="31"/>
      <c r="I23" s="31"/>
      <c r="J23" s="31"/>
      <c r="K23" s="31"/>
      <c r="L23" s="31"/>
    </row>
    <row r="24" spans="3:12" ht="21" x14ac:dyDescent="0.35">
      <c r="C24" s="68" t="s">
        <v>81</v>
      </c>
      <c r="D24" s="128">
        <f>(D22/D15)^(1/D16)-1</f>
        <v>6.6653654774182947E-2</v>
      </c>
      <c r="E24" s="31"/>
      <c r="F24" s="31"/>
      <c r="G24" s="31"/>
      <c r="H24" s="31"/>
      <c r="I24" s="31"/>
      <c r="J24" s="31"/>
      <c r="K24" s="31"/>
      <c r="L24" s="31"/>
    </row>
    <row r="25" spans="3:12" ht="21" x14ac:dyDescent="0.35"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3:12" ht="21" x14ac:dyDescent="0.35">
      <c r="C26" s="68" t="s">
        <v>173</v>
      </c>
      <c r="D26" s="91">
        <f>D15*(1+D19*D16)</f>
        <v>10887.500000000002</v>
      </c>
      <c r="E26" s="31"/>
      <c r="F26" s="31"/>
      <c r="G26" s="31"/>
      <c r="H26" s="31"/>
      <c r="I26" s="31"/>
      <c r="J26" s="31"/>
      <c r="K26" s="31"/>
      <c r="L26" s="31"/>
    </row>
    <row r="27" spans="3:12" ht="21" x14ac:dyDescent="0.35">
      <c r="C27" s="68" t="s">
        <v>174</v>
      </c>
      <c r="D27" s="128">
        <f>(D26-D15)/D15</f>
        <v>8.8750000000000176E-2</v>
      </c>
      <c r="E27" s="31"/>
      <c r="F27" s="31"/>
      <c r="G27" s="31"/>
      <c r="H27" s="31"/>
      <c r="I27" s="31"/>
      <c r="J27" s="31"/>
      <c r="K27" s="31"/>
      <c r="L27" s="31"/>
    </row>
    <row r="28" spans="3:12" ht="21" x14ac:dyDescent="0.35">
      <c r="C28" s="68" t="s">
        <v>175</v>
      </c>
      <c r="D28" s="128">
        <f>(D26/D15)^(1/D16)-1</f>
        <v>7.0391210934408033E-2</v>
      </c>
      <c r="E28" s="31"/>
      <c r="F28" s="31"/>
      <c r="G28" s="31"/>
      <c r="H28" s="31"/>
      <c r="I28" s="31"/>
      <c r="J28" s="31"/>
      <c r="K28" s="31"/>
      <c r="L28" s="31"/>
    </row>
    <row r="29" spans="3:12" ht="21" x14ac:dyDescent="0.35"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3:12" ht="21" customHeight="1" x14ac:dyDescent="0.25">
      <c r="C30" s="151" t="s">
        <v>176</v>
      </c>
      <c r="D30" s="151"/>
      <c r="E30" s="151"/>
      <c r="F30" s="151"/>
      <c r="G30" s="151"/>
      <c r="H30" s="151"/>
      <c r="I30" s="151"/>
      <c r="J30" s="151"/>
      <c r="K30" s="151"/>
      <c r="L30" s="151"/>
    </row>
    <row r="31" spans="3:12" ht="21" customHeight="1" x14ac:dyDescent="0.25">
      <c r="C31" s="151"/>
      <c r="D31" s="151"/>
      <c r="E31" s="151"/>
      <c r="F31" s="151"/>
      <c r="G31" s="151"/>
      <c r="H31" s="151"/>
      <c r="I31" s="151"/>
      <c r="J31" s="151"/>
      <c r="K31" s="151"/>
      <c r="L31" s="151"/>
    </row>
    <row r="32" spans="3:12" ht="21" x14ac:dyDescent="0.35"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3:12" ht="21" x14ac:dyDescent="0.35"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3:12" ht="21" x14ac:dyDescent="0.35"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mergeCells count="2">
    <mergeCell ref="B2:M12"/>
    <mergeCell ref="C30:L31"/>
  </mergeCell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D48"/>
  <sheetViews>
    <sheetView showGridLines="0" zoomScaleNormal="100" workbookViewId="0">
      <selection activeCell="E41" sqref="E41"/>
    </sheetView>
  </sheetViews>
  <sheetFormatPr defaultRowHeight="15" x14ac:dyDescent="0.25"/>
  <cols>
    <col min="1" max="1" width="8" customWidth="1"/>
    <col min="2" max="2" width="23.140625" bestFit="1" customWidth="1"/>
    <col min="3" max="3" width="11.28515625" customWidth="1"/>
    <col min="4" max="4" width="13" bestFit="1" customWidth="1"/>
    <col min="6" max="6" width="4.7109375" bestFit="1" customWidth="1"/>
    <col min="7" max="7" width="41.42578125" bestFit="1" customWidth="1"/>
    <col min="8" max="8" width="13.42578125" customWidth="1"/>
    <col min="9" max="9" width="26.7109375" bestFit="1" customWidth="1"/>
    <col min="10" max="10" width="23.7109375" bestFit="1" customWidth="1"/>
  </cols>
  <sheetData>
    <row r="24" spans="2:4" ht="6.75" customHeight="1" x14ac:dyDescent="0.25"/>
    <row r="27" spans="2:4" ht="18.75" x14ac:dyDescent="0.3">
      <c r="B27" s="25" t="s">
        <v>11</v>
      </c>
      <c r="C27" s="26"/>
      <c r="D27" s="26"/>
    </row>
    <row r="28" spans="2:4" ht="18.75" x14ac:dyDescent="0.3">
      <c r="B28" s="29" t="s">
        <v>12</v>
      </c>
      <c r="C28" s="28">
        <v>120</v>
      </c>
      <c r="D28" s="30" t="s">
        <v>13</v>
      </c>
    </row>
    <row r="29" spans="2:4" ht="18.75" x14ac:dyDescent="0.3">
      <c r="B29" s="29" t="s">
        <v>30</v>
      </c>
      <c r="C29" s="28">
        <v>100</v>
      </c>
      <c r="D29" s="28"/>
    </row>
    <row r="30" spans="2:4" ht="18.75" x14ac:dyDescent="0.3">
      <c r="B30" s="29" t="s">
        <v>15</v>
      </c>
      <c r="C30" s="52">
        <f>3.63%</f>
        <v>3.6299999999999999E-2</v>
      </c>
      <c r="D30" s="28"/>
    </row>
    <row r="31" spans="2:4" ht="18.75" x14ac:dyDescent="0.3">
      <c r="B31" s="29" t="s">
        <v>16</v>
      </c>
      <c r="C31" s="28">
        <v>365</v>
      </c>
      <c r="D31" s="28"/>
    </row>
    <row r="32" spans="2:4" ht="18.75" x14ac:dyDescent="0.3">
      <c r="B32" s="8"/>
      <c r="C32" s="8"/>
      <c r="D32" s="8"/>
    </row>
    <row r="33" spans="2:4" ht="18.75" x14ac:dyDescent="0.3">
      <c r="B33" s="58" t="s">
        <v>31</v>
      </c>
      <c r="C33" s="63">
        <f>C29/(1+C30)</f>
        <v>96.497153333976641</v>
      </c>
      <c r="D33" s="63"/>
    </row>
    <row r="34" spans="2:4" ht="18.75" x14ac:dyDescent="0.3">
      <c r="B34" s="58" t="s">
        <v>18</v>
      </c>
      <c r="C34" s="63">
        <f>C29-C33</f>
        <v>3.502846666023359</v>
      </c>
      <c r="D34" s="63"/>
    </row>
    <row r="35" spans="2:4" ht="18.75" x14ac:dyDescent="0.3">
      <c r="B35" s="58" t="s">
        <v>28</v>
      </c>
      <c r="C35" s="64">
        <f>C34/C29</f>
        <v>3.5028466660233591E-2</v>
      </c>
      <c r="D35" s="63"/>
    </row>
    <row r="36" spans="2:4" ht="18.75" x14ac:dyDescent="0.3">
      <c r="B36" s="58" t="s">
        <v>19</v>
      </c>
      <c r="C36" s="63">
        <f>C30/C28</f>
        <v>3.0249999999999998E-4</v>
      </c>
      <c r="D36" s="62" t="s">
        <v>20</v>
      </c>
    </row>
    <row r="37" spans="2:4" ht="18.75" x14ac:dyDescent="0.3">
      <c r="B37" s="58" t="s">
        <v>21</v>
      </c>
      <c r="C37" s="63">
        <f>C35/C28</f>
        <v>2.9190388883527994E-4</v>
      </c>
      <c r="D37" s="62" t="s">
        <v>20</v>
      </c>
    </row>
    <row r="38" spans="2:4" ht="18.75" x14ac:dyDescent="0.3">
      <c r="B38" s="8"/>
      <c r="C38" s="8"/>
      <c r="D38" s="8"/>
    </row>
    <row r="39" spans="2:4" ht="18.75" x14ac:dyDescent="0.3">
      <c r="B39" s="58" t="s">
        <v>22</v>
      </c>
      <c r="C39" s="63"/>
      <c r="D39" s="63"/>
    </row>
    <row r="40" spans="2:4" ht="18.75" x14ac:dyDescent="0.3">
      <c r="B40" s="58" t="s">
        <v>23</v>
      </c>
      <c r="C40" s="64">
        <f>(1+C30)^(C31/C28)-1</f>
        <v>0.11455556217896179</v>
      </c>
      <c r="D40" s="63"/>
    </row>
    <row r="41" spans="2:4" ht="18.75" x14ac:dyDescent="0.3">
      <c r="B41" s="58" t="s">
        <v>24</v>
      </c>
      <c r="C41" s="63">
        <f>LN(1+C40)</f>
        <v>0.10845572650777212</v>
      </c>
      <c r="D41" s="62" t="s">
        <v>25</v>
      </c>
    </row>
    <row r="42" spans="2:4" ht="18.75" x14ac:dyDescent="0.3">
      <c r="B42" s="58" t="s">
        <v>26</v>
      </c>
      <c r="C42" s="64">
        <f>(1+C40)^(1/2)-1</f>
        <v>5.5725135714292717E-2</v>
      </c>
      <c r="D42" s="63"/>
    </row>
    <row r="43" spans="2:4" ht="18.75" x14ac:dyDescent="0.3">
      <c r="B43" s="58" t="s">
        <v>24</v>
      </c>
      <c r="C43" s="63">
        <f>LN(1+C42)</f>
        <v>5.4227863253886052E-2</v>
      </c>
      <c r="D43" s="62" t="s">
        <v>27</v>
      </c>
    </row>
    <row r="44" spans="2:4" ht="18.75" x14ac:dyDescent="0.3">
      <c r="B44" s="8"/>
      <c r="C44" s="8"/>
      <c r="D44" s="8"/>
    </row>
    <row r="45" spans="2:4" ht="18.75" x14ac:dyDescent="0.3">
      <c r="B45" s="8"/>
      <c r="C45" s="8"/>
      <c r="D45" s="8"/>
    </row>
    <row r="46" spans="2:4" ht="18.75" x14ac:dyDescent="0.3">
      <c r="B46" s="58" t="s">
        <v>29</v>
      </c>
      <c r="C46" s="63"/>
      <c r="D46" s="63"/>
    </row>
    <row r="47" spans="2:4" ht="18.75" x14ac:dyDescent="0.3">
      <c r="B47" s="58" t="s">
        <v>23</v>
      </c>
      <c r="C47" s="64">
        <f>C30*C31/C28</f>
        <v>0.1104125</v>
      </c>
      <c r="D47" s="63"/>
    </row>
    <row r="48" spans="2:4" ht="18.75" x14ac:dyDescent="0.3">
      <c r="B48" s="58" t="s">
        <v>26</v>
      </c>
      <c r="C48" s="64">
        <f>C47/2</f>
        <v>5.5206249999999998E-2</v>
      </c>
      <c r="D48" s="63"/>
    </row>
  </sheetData>
  <phoneticPr fontId="9" type="noConversion"/>
  <pageMargins left="0.7" right="0.7" top="0.75" bottom="0.75" header="0.3" footer="0.3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6:D47"/>
  <sheetViews>
    <sheetView showGridLines="0" zoomScaleNormal="100" workbookViewId="0">
      <selection activeCell="G38" sqref="G38"/>
    </sheetView>
  </sheetViews>
  <sheetFormatPr defaultRowHeight="15" x14ac:dyDescent="0.25"/>
  <cols>
    <col min="1" max="1" width="2.5703125" customWidth="1"/>
    <col min="2" max="2" width="23.140625" bestFit="1" customWidth="1"/>
    <col min="3" max="3" width="17.140625" bestFit="1" customWidth="1"/>
    <col min="4" max="4" width="13" bestFit="1" customWidth="1"/>
    <col min="6" max="6" width="4.7109375" bestFit="1" customWidth="1"/>
    <col min="7" max="7" width="41.5703125" bestFit="1" customWidth="1"/>
    <col min="8" max="8" width="13.7109375" customWidth="1"/>
    <col min="9" max="9" width="26.7109375" bestFit="1" customWidth="1"/>
    <col min="10" max="10" width="23.7109375" bestFit="1" customWidth="1"/>
  </cols>
  <sheetData>
    <row r="26" spans="2:4" ht="18.75" x14ac:dyDescent="0.3">
      <c r="B26" s="25" t="s">
        <v>11</v>
      </c>
      <c r="C26" s="26"/>
      <c r="D26" s="26"/>
    </row>
    <row r="27" spans="2:4" ht="18.75" x14ac:dyDescent="0.3">
      <c r="B27" s="29" t="s">
        <v>12</v>
      </c>
      <c r="C27" s="28">
        <v>150</v>
      </c>
      <c r="D27" s="30" t="s">
        <v>13</v>
      </c>
    </row>
    <row r="28" spans="2:4" ht="18.75" x14ac:dyDescent="0.3">
      <c r="B28" s="29" t="s">
        <v>14</v>
      </c>
      <c r="C28" s="28">
        <v>100</v>
      </c>
      <c r="D28" s="28"/>
    </row>
    <row r="29" spans="2:4" ht="18.75" x14ac:dyDescent="0.3">
      <c r="B29" s="29" t="s">
        <v>15</v>
      </c>
      <c r="C29" s="28">
        <f>4.25%</f>
        <v>4.2500000000000003E-2</v>
      </c>
      <c r="D29" s="28"/>
    </row>
    <row r="30" spans="2:4" ht="18.75" x14ac:dyDescent="0.3">
      <c r="B30" s="29" t="s">
        <v>16</v>
      </c>
      <c r="C30" s="28">
        <v>365</v>
      </c>
      <c r="D30" s="28"/>
    </row>
    <row r="31" spans="2:4" ht="18.75" x14ac:dyDescent="0.3">
      <c r="B31" s="8"/>
      <c r="C31" s="8"/>
      <c r="D31" s="8"/>
    </row>
    <row r="32" spans="2:4" ht="18.75" x14ac:dyDescent="0.3">
      <c r="B32" s="58" t="s">
        <v>17</v>
      </c>
      <c r="C32" s="65">
        <f>C28*(1+C29)</f>
        <v>104.25</v>
      </c>
      <c r="D32" s="63"/>
    </row>
    <row r="33" spans="2:4" ht="18.75" x14ac:dyDescent="0.3">
      <c r="B33" s="58" t="s">
        <v>18</v>
      </c>
      <c r="C33" s="65">
        <f>C32-C28</f>
        <v>4.25</v>
      </c>
      <c r="D33" s="63"/>
    </row>
    <row r="34" spans="2:4" ht="18.75" x14ac:dyDescent="0.3">
      <c r="B34" s="58" t="s">
        <v>28</v>
      </c>
      <c r="C34" s="66">
        <f>C33/C32</f>
        <v>4.0767386091127102E-2</v>
      </c>
      <c r="D34" s="63"/>
    </row>
    <row r="35" spans="2:4" ht="18.75" x14ac:dyDescent="0.3">
      <c r="B35" s="58" t="s">
        <v>19</v>
      </c>
      <c r="C35" s="67">
        <f>C29/C27</f>
        <v>2.8333333333333335E-4</v>
      </c>
      <c r="D35" s="62" t="s">
        <v>20</v>
      </c>
    </row>
    <row r="36" spans="2:4" ht="18.75" x14ac:dyDescent="0.3">
      <c r="B36" s="58" t="s">
        <v>21</v>
      </c>
      <c r="C36" s="67">
        <f>C34/C27</f>
        <v>2.7178257394084736E-4</v>
      </c>
      <c r="D36" s="62" t="s">
        <v>20</v>
      </c>
    </row>
    <row r="37" spans="2:4" ht="18.75" x14ac:dyDescent="0.3">
      <c r="B37" s="8"/>
      <c r="C37" s="8"/>
      <c r="D37" s="8"/>
    </row>
    <row r="38" spans="2:4" ht="18.75" x14ac:dyDescent="0.3">
      <c r="B38" s="58" t="s">
        <v>22</v>
      </c>
      <c r="C38" s="63"/>
      <c r="D38" s="63"/>
    </row>
    <row r="39" spans="2:4" ht="18.75" x14ac:dyDescent="0.3">
      <c r="B39" s="58" t="s">
        <v>23</v>
      </c>
      <c r="C39" s="66">
        <f>(1+C29)^(C30/C27)-1</f>
        <v>0.10658578795271811</v>
      </c>
      <c r="D39" s="63"/>
    </row>
    <row r="40" spans="2:4" ht="18.75" x14ac:dyDescent="0.3">
      <c r="B40" s="58" t="s">
        <v>24</v>
      </c>
      <c r="C40" s="67">
        <f>LN(1+C39)</f>
        <v>0.10127940841432739</v>
      </c>
      <c r="D40" s="62" t="s">
        <v>25</v>
      </c>
    </row>
    <row r="41" spans="2:4" ht="18.75" x14ac:dyDescent="0.3">
      <c r="B41" s="58" t="s">
        <v>26</v>
      </c>
      <c r="C41" s="66">
        <f>(1+C39)^(1/2)-1</f>
        <v>5.1943814066472971E-2</v>
      </c>
      <c r="D41" s="63"/>
    </row>
    <row r="42" spans="2:4" ht="18.75" x14ac:dyDescent="0.3">
      <c r="B42" s="58" t="s">
        <v>24</v>
      </c>
      <c r="C42" s="67">
        <f>LN(1+C41)</f>
        <v>5.0639704207163759E-2</v>
      </c>
      <c r="D42" s="62" t="s">
        <v>27</v>
      </c>
    </row>
    <row r="43" spans="2:4" ht="18.75" x14ac:dyDescent="0.3">
      <c r="B43" s="8"/>
      <c r="C43" s="8"/>
      <c r="D43" s="8"/>
    </row>
    <row r="44" spans="2:4" ht="18.75" x14ac:dyDescent="0.3">
      <c r="B44" s="8"/>
      <c r="C44" s="8"/>
      <c r="D44" s="8"/>
    </row>
    <row r="45" spans="2:4" ht="18.75" x14ac:dyDescent="0.3">
      <c r="B45" s="58" t="s">
        <v>29</v>
      </c>
      <c r="C45" s="63"/>
      <c r="D45" s="63"/>
    </row>
    <row r="46" spans="2:4" ht="18.75" x14ac:dyDescent="0.3">
      <c r="B46" s="58" t="s">
        <v>23</v>
      </c>
      <c r="C46" s="66">
        <f>C29*C30/C27</f>
        <v>0.10341666666666667</v>
      </c>
      <c r="D46" s="63"/>
    </row>
    <row r="47" spans="2:4" ht="18.75" x14ac:dyDescent="0.3">
      <c r="B47" s="58" t="s">
        <v>26</v>
      </c>
      <c r="C47" s="66">
        <f>C46/2</f>
        <v>5.1708333333333335E-2</v>
      </c>
      <c r="D47" s="63"/>
    </row>
  </sheetData>
  <phoneticPr fontId="9" type="noConversion"/>
  <pageMargins left="0.7" right="0.7" top="0.75" bottom="0.75" header="0.3" footer="0.3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D42"/>
  <sheetViews>
    <sheetView zoomScaleNormal="100" workbookViewId="0">
      <selection activeCell="C42" sqref="C42"/>
    </sheetView>
  </sheetViews>
  <sheetFormatPr defaultRowHeight="15" x14ac:dyDescent="0.25"/>
  <cols>
    <col min="1" max="1" width="5.5703125" customWidth="1"/>
    <col min="2" max="2" width="25.140625" bestFit="1" customWidth="1"/>
    <col min="3" max="3" width="17.28515625" style="3" bestFit="1" customWidth="1"/>
    <col min="4" max="4" width="18.140625" style="3" bestFit="1" customWidth="1"/>
    <col min="5" max="5" width="8.28515625" customWidth="1"/>
    <col min="6" max="6" width="5.28515625" bestFit="1" customWidth="1"/>
    <col min="7" max="7" width="43.42578125" bestFit="1" customWidth="1"/>
    <col min="8" max="8" width="18.28515625" customWidth="1"/>
    <col min="9" max="9" width="31.28515625" bestFit="1" customWidth="1"/>
  </cols>
  <sheetData>
    <row r="21" spans="2:4" x14ac:dyDescent="0.25">
      <c r="C21"/>
      <c r="D21"/>
    </row>
    <row r="22" spans="2:4" ht="18.75" x14ac:dyDescent="0.3">
      <c r="B22" s="25" t="s">
        <v>11</v>
      </c>
      <c r="C22" s="26"/>
      <c r="D22" s="26"/>
    </row>
    <row r="23" spans="2:4" ht="18.75" x14ac:dyDescent="0.3">
      <c r="B23" s="29" t="s">
        <v>31</v>
      </c>
      <c r="C23" s="28">
        <v>98</v>
      </c>
      <c r="D23" s="28"/>
    </row>
    <row r="24" spans="2:4" ht="18.75" x14ac:dyDescent="0.3">
      <c r="B24" s="29" t="s">
        <v>17</v>
      </c>
      <c r="C24" s="28">
        <v>102</v>
      </c>
      <c r="D24" s="28"/>
    </row>
    <row r="25" spans="2:4" ht="18.75" x14ac:dyDescent="0.3">
      <c r="B25" s="29" t="s">
        <v>34</v>
      </c>
      <c r="C25" s="28">
        <v>0</v>
      </c>
      <c r="D25" s="28"/>
    </row>
    <row r="26" spans="2:4" ht="18.75" x14ac:dyDescent="0.3">
      <c r="B26" s="29" t="s">
        <v>35</v>
      </c>
      <c r="C26" s="28">
        <v>4</v>
      </c>
      <c r="D26" s="30" t="s">
        <v>36</v>
      </c>
    </row>
    <row r="27" spans="2:4" ht="18.75" x14ac:dyDescent="0.3">
      <c r="B27" s="29" t="s">
        <v>39</v>
      </c>
      <c r="C27" s="28">
        <v>100</v>
      </c>
      <c r="D27" s="30"/>
    </row>
    <row r="28" spans="2:4" ht="18.75" x14ac:dyDescent="0.3">
      <c r="B28" s="29" t="s">
        <v>38</v>
      </c>
      <c r="C28" s="28">
        <v>9</v>
      </c>
      <c r="D28" s="30" t="s">
        <v>36</v>
      </c>
    </row>
    <row r="29" spans="2:4" ht="18.75" x14ac:dyDescent="0.3">
      <c r="B29" s="29" t="s">
        <v>40</v>
      </c>
      <c r="C29" s="28">
        <v>7</v>
      </c>
      <c r="D29" s="30" t="s">
        <v>36</v>
      </c>
    </row>
    <row r="30" spans="2:4" x14ac:dyDescent="0.25">
      <c r="C30"/>
      <c r="D30"/>
    </row>
    <row r="31" spans="2:4" x14ac:dyDescent="0.25">
      <c r="C31"/>
      <c r="D31"/>
    </row>
    <row r="32" spans="2:4" ht="21" x14ac:dyDescent="0.35">
      <c r="B32" s="72" t="s">
        <v>37</v>
      </c>
      <c r="C32" s="69"/>
    </row>
    <row r="33" spans="2:3" ht="21" x14ac:dyDescent="0.35">
      <c r="B33" s="72" t="s">
        <v>23</v>
      </c>
      <c r="C33" s="70">
        <f>(C24/C23)^(12/C26)-1</f>
        <v>0.12751489600421606</v>
      </c>
    </row>
    <row r="34" spans="2:3" ht="21" x14ac:dyDescent="0.35">
      <c r="B34" s="72" t="s">
        <v>26</v>
      </c>
      <c r="C34" s="70">
        <f>(1+C33)^(1/2)-1</f>
        <v>6.1845043311036019E-2</v>
      </c>
    </row>
    <row r="35" spans="2:3" ht="21" x14ac:dyDescent="0.35">
      <c r="B35" s="31"/>
      <c r="C35" s="32"/>
    </row>
    <row r="36" spans="2:3" ht="21" x14ac:dyDescent="0.35">
      <c r="B36" s="72" t="s">
        <v>29</v>
      </c>
      <c r="C36" s="69"/>
    </row>
    <row r="37" spans="2:3" ht="21" x14ac:dyDescent="0.35">
      <c r="B37" s="72" t="s">
        <v>23</v>
      </c>
      <c r="C37" s="70">
        <f>(C24-C23)/C23*12/C26</f>
        <v>0.12244897959183673</v>
      </c>
    </row>
    <row r="38" spans="2:3" ht="21" x14ac:dyDescent="0.35">
      <c r="B38" s="72" t="s">
        <v>26</v>
      </c>
      <c r="C38" s="70">
        <f>C37/2</f>
        <v>6.1224489795918366E-2</v>
      </c>
    </row>
    <row r="39" spans="2:3" ht="21" x14ac:dyDescent="0.35">
      <c r="B39" s="31"/>
      <c r="C39" s="32"/>
    </row>
    <row r="40" spans="2:3" ht="21" x14ac:dyDescent="0.35">
      <c r="B40" s="72" t="s">
        <v>41</v>
      </c>
      <c r="C40" s="71">
        <f>C23*(1+C33)^(C29/12-C25/12)-C24*(1+C33)^(C29/12-C26/12)-C27*(1+C33)^(C29/12-C28/12)</f>
        <v>-98.019605881960672</v>
      </c>
    </row>
    <row r="41" spans="2:3" ht="21" x14ac:dyDescent="0.35">
      <c r="B41" s="31" t="s">
        <v>42</v>
      </c>
      <c r="C41" s="32"/>
    </row>
    <row r="42" spans="2:3" ht="21" x14ac:dyDescent="0.35">
      <c r="B42" s="72" t="s">
        <v>41</v>
      </c>
      <c r="C42" s="71">
        <f>-C27*(1+C33)^(C29/12-C28/12)</f>
        <v>-98.019605881960686</v>
      </c>
    </row>
  </sheetData>
  <phoneticPr fontId="9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D42"/>
  <sheetViews>
    <sheetView zoomScaleNormal="100" workbookViewId="0">
      <selection activeCell="A14" sqref="A14:XFD14"/>
    </sheetView>
  </sheetViews>
  <sheetFormatPr defaultRowHeight="15" x14ac:dyDescent="0.25"/>
  <cols>
    <col min="1" max="1" width="9.7109375" customWidth="1"/>
    <col min="2" max="2" width="25.140625" bestFit="1" customWidth="1"/>
    <col min="3" max="3" width="14" style="3" customWidth="1"/>
    <col min="4" max="4" width="18.140625" style="3" bestFit="1" customWidth="1"/>
    <col min="5" max="5" width="5.28515625" bestFit="1" customWidth="1"/>
    <col min="6" max="6" width="43.42578125" bestFit="1" customWidth="1"/>
    <col min="7" max="7" width="18.28515625" customWidth="1"/>
    <col min="8" max="8" width="31.28515625" bestFit="1" customWidth="1"/>
  </cols>
  <sheetData>
    <row r="21" spans="1:4" ht="18.75" x14ac:dyDescent="0.3">
      <c r="A21" s="6"/>
      <c r="B21" s="6"/>
      <c r="C21" s="2"/>
    </row>
    <row r="22" spans="1:4" ht="18.75" x14ac:dyDescent="0.3">
      <c r="A22" s="2"/>
      <c r="B22" s="25" t="s">
        <v>11</v>
      </c>
      <c r="C22" s="26"/>
      <c r="D22" s="26"/>
    </row>
    <row r="23" spans="1:4" ht="18.75" x14ac:dyDescent="0.3">
      <c r="A23" s="2"/>
      <c r="B23" s="29" t="s">
        <v>31</v>
      </c>
      <c r="C23" s="28">
        <v>102</v>
      </c>
      <c r="D23" s="28"/>
    </row>
    <row r="24" spans="1:4" ht="18.75" x14ac:dyDescent="0.3">
      <c r="A24" s="2"/>
      <c r="B24" s="29" t="s">
        <v>17</v>
      </c>
      <c r="C24" s="28">
        <v>107</v>
      </c>
      <c r="D24" s="28"/>
    </row>
    <row r="25" spans="1:4" ht="18.75" x14ac:dyDescent="0.3">
      <c r="A25" s="2"/>
      <c r="B25" s="29" t="s">
        <v>34</v>
      </c>
      <c r="C25" s="28">
        <v>0</v>
      </c>
      <c r="D25" s="28"/>
    </row>
    <row r="26" spans="1:4" ht="18.75" x14ac:dyDescent="0.3">
      <c r="A26" s="5"/>
      <c r="B26" s="29" t="s">
        <v>35</v>
      </c>
      <c r="C26" s="28">
        <v>5</v>
      </c>
      <c r="D26" s="30" t="s">
        <v>36</v>
      </c>
    </row>
    <row r="27" spans="1:4" ht="18.75" x14ac:dyDescent="0.3">
      <c r="A27" s="5"/>
      <c r="B27" s="29" t="s">
        <v>41</v>
      </c>
      <c r="C27" s="28">
        <v>80</v>
      </c>
      <c r="D27" s="30"/>
    </row>
    <row r="28" spans="1:4" ht="18.75" x14ac:dyDescent="0.3">
      <c r="A28" s="5"/>
      <c r="B28" s="29" t="s">
        <v>40</v>
      </c>
      <c r="C28" s="28">
        <v>7</v>
      </c>
      <c r="D28" s="30" t="s">
        <v>36</v>
      </c>
    </row>
    <row r="29" spans="1:4" ht="18.75" x14ac:dyDescent="0.3">
      <c r="A29" s="5"/>
      <c r="B29" s="29" t="s">
        <v>38</v>
      </c>
      <c r="C29" s="28">
        <v>9</v>
      </c>
      <c r="D29" s="30" t="s">
        <v>36</v>
      </c>
    </row>
    <row r="30" spans="1:4" x14ac:dyDescent="0.25">
      <c r="A30" s="5"/>
      <c r="C30"/>
      <c r="D30"/>
    </row>
    <row r="31" spans="1:4" x14ac:dyDescent="0.25">
      <c r="C31"/>
      <c r="D31"/>
    </row>
    <row r="32" spans="1:4" ht="21" x14ac:dyDescent="0.35">
      <c r="B32" s="72" t="s">
        <v>37</v>
      </c>
      <c r="C32" s="69"/>
    </row>
    <row r="33" spans="2:3" ht="21" x14ac:dyDescent="0.35">
      <c r="B33" s="72" t="s">
        <v>23</v>
      </c>
      <c r="C33" s="70">
        <f>(C24/C23)^(12/C26)-1</f>
        <v>0.12171016170275317</v>
      </c>
    </row>
    <row r="34" spans="2:3" ht="21" x14ac:dyDescent="0.35">
      <c r="B34" s="72" t="s">
        <v>26</v>
      </c>
      <c r="C34" s="70">
        <f>(1+C33)^(1/2)-1</f>
        <v>5.9108191689004608E-2</v>
      </c>
    </row>
    <row r="35" spans="2:3" ht="21" x14ac:dyDescent="0.35">
      <c r="B35" s="31"/>
      <c r="C35" s="32"/>
    </row>
    <row r="36" spans="2:3" ht="21" x14ac:dyDescent="0.35">
      <c r="B36" s="72" t="s">
        <v>29</v>
      </c>
      <c r="C36" s="69"/>
    </row>
    <row r="37" spans="2:3" ht="21" x14ac:dyDescent="0.35">
      <c r="B37" s="72" t="s">
        <v>23</v>
      </c>
      <c r="C37" s="70">
        <f>(C24-C23)/C23*12/C26</f>
        <v>0.11764705882352941</v>
      </c>
    </row>
    <row r="38" spans="2:3" ht="21" x14ac:dyDescent="0.35">
      <c r="B38" s="72" t="s">
        <v>26</v>
      </c>
      <c r="C38" s="70">
        <f>C37/2</f>
        <v>5.8823529411764705E-2</v>
      </c>
    </row>
    <row r="40" spans="2:3" ht="21" x14ac:dyDescent="0.35">
      <c r="B40" s="72" t="s">
        <v>39</v>
      </c>
      <c r="C40" s="71">
        <f>C23*(1+C33)^(C29/12-C25/12)-C24*(1+C33)^(C29/12-C26/12)-C27*(1+C33)^(C29/12-C28/12)</f>
        <v>-81.546143924223543</v>
      </c>
    </row>
    <row r="41" spans="2:3" ht="21" x14ac:dyDescent="0.35">
      <c r="B41" s="31" t="s">
        <v>42</v>
      </c>
    </row>
    <row r="42" spans="2:3" ht="21" x14ac:dyDescent="0.35">
      <c r="B42" s="72" t="s">
        <v>39</v>
      </c>
      <c r="C42" s="71">
        <f>-C27*(1+C33)^(C29/12-C28/12)</f>
        <v>-81.546143924223543</v>
      </c>
    </row>
  </sheetData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25" zoomScaleNormal="100" workbookViewId="0">
      <selection activeCell="F48" sqref="F48"/>
    </sheetView>
  </sheetViews>
  <sheetFormatPr defaultRowHeight="15" x14ac:dyDescent="0.25"/>
  <cols>
    <col min="1" max="1" width="10" customWidth="1"/>
    <col min="2" max="2" width="26.5703125" bestFit="1" customWidth="1"/>
    <col min="3" max="3" width="14" style="3" customWidth="1"/>
    <col min="4" max="4" width="16.7109375" style="3" bestFit="1" customWidth="1"/>
    <col min="5" max="5" width="5.85546875" bestFit="1" customWidth="1"/>
    <col min="6" max="6" width="51.28515625" bestFit="1" customWidth="1"/>
    <col min="7" max="7" width="28" bestFit="1" customWidth="1"/>
    <col min="8" max="8" width="31.28515625" bestFit="1" customWidth="1"/>
    <col min="9" max="9" width="11" bestFit="1" customWidth="1"/>
  </cols>
  <sheetData>
    <row r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1:5" ht="15" customHeight="1" x14ac:dyDescent="0.25"/>
    <row r="18" spans="1:5" ht="15" customHeight="1" x14ac:dyDescent="0.25"/>
    <row r="19" spans="1:5" ht="15" customHeight="1" x14ac:dyDescent="0.25"/>
    <row r="20" spans="1:5" ht="15" customHeight="1" x14ac:dyDescent="0.25"/>
    <row r="21" spans="1:5" ht="15" customHeight="1" x14ac:dyDescent="0.25"/>
    <row r="22" spans="1:5" ht="15" customHeight="1" x14ac:dyDescent="0.3">
      <c r="A22" s="5"/>
      <c r="B22" s="5"/>
      <c r="C22" s="2"/>
    </row>
    <row r="23" spans="1:5" ht="15" customHeight="1" x14ac:dyDescent="0.3">
      <c r="A23" s="5"/>
      <c r="B23" s="5"/>
      <c r="C23" s="2"/>
    </row>
    <row r="24" spans="1:5" ht="15" customHeight="1" x14ac:dyDescent="0.3">
      <c r="A24" s="5"/>
      <c r="B24" s="5"/>
      <c r="C24" s="2"/>
    </row>
    <row r="25" spans="1:5" ht="15" customHeight="1" x14ac:dyDescent="0.3">
      <c r="A25" s="5"/>
      <c r="B25" s="5"/>
      <c r="C25" s="2"/>
    </row>
    <row r="26" spans="1:5" ht="15" customHeight="1" x14ac:dyDescent="0.35">
      <c r="B26" s="31"/>
      <c r="C26" s="32"/>
      <c r="D26" s="32"/>
      <c r="E26" s="31"/>
    </row>
    <row r="27" spans="1:5" ht="20.100000000000001" customHeight="1" x14ac:dyDescent="0.35">
      <c r="B27" s="31"/>
      <c r="C27" s="32"/>
      <c r="D27" s="32"/>
      <c r="E27" s="31"/>
    </row>
    <row r="28" spans="1:5" ht="20.100000000000001" customHeight="1" x14ac:dyDescent="0.35">
      <c r="B28" s="33" t="s">
        <v>11</v>
      </c>
      <c r="C28" s="33"/>
      <c r="D28" s="33"/>
      <c r="E28" s="31"/>
    </row>
    <row r="29" spans="1:5" ht="20.100000000000001" customHeight="1" x14ac:dyDescent="0.35">
      <c r="B29" s="34" t="s">
        <v>31</v>
      </c>
      <c r="C29" s="35">
        <v>102</v>
      </c>
      <c r="D29" s="35"/>
      <c r="E29" s="31"/>
    </row>
    <row r="30" spans="1:5" ht="20.100000000000001" customHeight="1" x14ac:dyDescent="0.35">
      <c r="B30" s="34" t="s">
        <v>17</v>
      </c>
      <c r="C30" s="35">
        <v>107</v>
      </c>
      <c r="D30" s="35"/>
      <c r="E30" s="31"/>
    </row>
    <row r="31" spans="1:5" ht="20.100000000000001" customHeight="1" x14ac:dyDescent="0.35">
      <c r="B31" s="34" t="s">
        <v>34</v>
      </c>
      <c r="C31" s="35">
        <v>0</v>
      </c>
      <c r="D31" s="35"/>
      <c r="E31" s="31"/>
    </row>
    <row r="32" spans="1:5" ht="20.100000000000001" customHeight="1" x14ac:dyDescent="0.35">
      <c r="B32" s="34" t="s">
        <v>35</v>
      </c>
      <c r="C32" s="35">
        <v>140</v>
      </c>
      <c r="D32" s="35" t="s">
        <v>13</v>
      </c>
      <c r="E32" s="31"/>
    </row>
    <row r="33" spans="2:6" ht="20.100000000000001" customHeight="1" x14ac:dyDescent="0.35">
      <c r="B33" s="34" t="s">
        <v>16</v>
      </c>
      <c r="C33" s="35">
        <v>360</v>
      </c>
      <c r="D33" s="35"/>
      <c r="E33" s="31"/>
    </row>
    <row r="34" spans="2:6" ht="20.100000000000001" customHeight="1" x14ac:dyDescent="0.35">
      <c r="B34" s="34" t="s">
        <v>43</v>
      </c>
      <c r="C34" s="35">
        <v>30</v>
      </c>
      <c r="D34" s="35"/>
      <c r="E34" s="31"/>
    </row>
    <row r="35" spans="2:6" ht="20.100000000000001" customHeight="1" x14ac:dyDescent="0.35">
      <c r="B35" s="34" t="s">
        <v>41</v>
      </c>
      <c r="C35" s="35">
        <v>50</v>
      </c>
      <c r="D35" s="35"/>
      <c r="E35" s="31"/>
    </row>
    <row r="36" spans="2:6" ht="20.100000000000001" customHeight="1" x14ac:dyDescent="0.35">
      <c r="B36" s="34" t="s">
        <v>40</v>
      </c>
      <c r="C36" s="35">
        <v>180</v>
      </c>
      <c r="D36" s="35" t="s">
        <v>13</v>
      </c>
      <c r="E36" s="31"/>
    </row>
    <row r="37" spans="2:6" ht="20.100000000000001" customHeight="1" x14ac:dyDescent="0.35">
      <c r="B37" s="37" t="s">
        <v>38</v>
      </c>
      <c r="C37" s="36">
        <v>210</v>
      </c>
      <c r="D37" s="36" t="s">
        <v>13</v>
      </c>
      <c r="E37" s="31"/>
    </row>
    <row r="38" spans="2:6" ht="20.100000000000001" customHeight="1" x14ac:dyDescent="0.35">
      <c r="B38" s="31"/>
      <c r="C38" s="32"/>
      <c r="D38" s="32"/>
      <c r="E38" s="31"/>
    </row>
    <row r="39" spans="2:6" ht="20.100000000000001" customHeight="1" x14ac:dyDescent="0.35">
      <c r="B39" s="72" t="s">
        <v>44</v>
      </c>
      <c r="C39" s="69"/>
      <c r="D39" s="69"/>
      <c r="E39" s="31"/>
    </row>
    <row r="40" spans="2:6" ht="20.100000000000001" customHeight="1" x14ac:dyDescent="0.35">
      <c r="B40" s="72" t="s">
        <v>24</v>
      </c>
      <c r="C40" s="69">
        <f>LN(C30/C29)*C33/C32</f>
        <v>0.12305834017106179</v>
      </c>
      <c r="D40" s="69" t="s">
        <v>25</v>
      </c>
      <c r="E40" s="31"/>
      <c r="F40" s="31"/>
    </row>
    <row r="41" spans="2:6" ht="20.100000000000001" customHeight="1" x14ac:dyDescent="0.35">
      <c r="B41" s="72" t="s">
        <v>26</v>
      </c>
      <c r="C41" s="70">
        <f>(C30/C29)^(180/C32)-1</f>
        <v>6.3461517339777229E-2</v>
      </c>
      <c r="D41" s="69"/>
      <c r="E41" s="31"/>
      <c r="F41" s="31"/>
    </row>
    <row r="42" spans="2:6" ht="20.100000000000001" customHeight="1" x14ac:dyDescent="0.35">
      <c r="B42" s="72" t="s">
        <v>46</v>
      </c>
      <c r="C42" s="70">
        <f>(1+C41)^(1/6)-1</f>
        <v>1.0307622973993347E-2</v>
      </c>
      <c r="D42" s="69"/>
      <c r="E42" s="31"/>
      <c r="F42" s="31"/>
    </row>
    <row r="43" spans="2:6" ht="20.100000000000001" customHeight="1" x14ac:dyDescent="0.35">
      <c r="B43" s="31"/>
      <c r="C43" s="32"/>
      <c r="D43" s="32"/>
      <c r="E43" s="31"/>
      <c r="F43" s="31"/>
    </row>
    <row r="44" spans="2:6" ht="20.100000000000001" customHeight="1" x14ac:dyDescent="0.35">
      <c r="B44" s="72" t="s">
        <v>45</v>
      </c>
      <c r="C44" s="69"/>
      <c r="D44" s="69"/>
      <c r="E44" s="31"/>
      <c r="F44" s="31"/>
    </row>
    <row r="45" spans="2:6" ht="20.100000000000001" customHeight="1" x14ac:dyDescent="0.35">
      <c r="B45" s="72" t="s">
        <v>23</v>
      </c>
      <c r="C45" s="69">
        <f>(C30-C29)/C29*C33/C32</f>
        <v>0.12605042016806722</v>
      </c>
      <c r="D45" s="69"/>
      <c r="E45" s="31"/>
      <c r="F45" s="31"/>
    </row>
    <row r="46" spans="2:6" ht="20.100000000000001" customHeight="1" x14ac:dyDescent="0.35">
      <c r="B46" s="72" t="s">
        <v>26</v>
      </c>
      <c r="C46" s="69">
        <f>C45/2</f>
        <v>6.3025210084033612E-2</v>
      </c>
      <c r="D46" s="69"/>
      <c r="E46" s="31"/>
      <c r="F46" s="31"/>
    </row>
    <row r="47" spans="2:6" ht="20.100000000000001" customHeight="1" x14ac:dyDescent="0.35">
      <c r="B47" s="31"/>
      <c r="C47" s="32"/>
      <c r="D47" s="32"/>
      <c r="E47" s="31"/>
      <c r="F47" s="31"/>
    </row>
    <row r="48" spans="2:6" ht="20.100000000000001" customHeight="1" x14ac:dyDescent="0.35">
      <c r="B48" s="31"/>
      <c r="C48" s="32"/>
      <c r="D48" s="32"/>
      <c r="E48" s="31"/>
      <c r="F48" s="31"/>
    </row>
    <row r="49" spans="2:6" ht="20.100000000000001" customHeight="1" x14ac:dyDescent="0.35">
      <c r="B49" s="72" t="s">
        <v>39</v>
      </c>
      <c r="C49" s="71">
        <f>-C35*EXP(C40*(C37-C36)/C33)</f>
        <v>-50.515381148699667</v>
      </c>
      <c r="D49" s="32"/>
      <c r="E49" s="31"/>
      <c r="F49" s="31"/>
    </row>
    <row r="50" spans="2:6" ht="20.100000000000001" customHeight="1" x14ac:dyDescent="0.35">
      <c r="B50" s="31"/>
      <c r="C50" s="32"/>
      <c r="D50" s="32"/>
      <c r="E50" s="31"/>
      <c r="F50" s="31"/>
    </row>
    <row r="51" spans="2:6" ht="15" customHeight="1" x14ac:dyDescent="0.35">
      <c r="B51" s="31"/>
      <c r="C51" s="32"/>
      <c r="D51" s="32"/>
      <c r="E51" s="31"/>
      <c r="F51" s="31"/>
    </row>
    <row r="52" spans="2:6" ht="15" customHeight="1" x14ac:dyDescent="0.35">
      <c r="B52" s="31"/>
      <c r="C52" s="32"/>
      <c r="D52" s="32"/>
      <c r="E52" s="31"/>
      <c r="F52" s="31"/>
    </row>
    <row r="53" spans="2:6" ht="21" x14ac:dyDescent="0.35">
      <c r="B53" s="31"/>
      <c r="C53" s="32"/>
      <c r="D53" s="32"/>
      <c r="E53" s="31"/>
      <c r="F53" s="31"/>
    </row>
    <row r="54" spans="2:6" ht="21" x14ac:dyDescent="0.35">
      <c r="B54" s="31"/>
      <c r="C54" s="32"/>
      <c r="D54" s="32"/>
      <c r="E54" s="31"/>
      <c r="F54" s="31"/>
    </row>
    <row r="55" spans="2:6" ht="21" x14ac:dyDescent="0.35">
      <c r="B55" s="31"/>
      <c r="C55" s="32"/>
      <c r="D55" s="32"/>
      <c r="E55" s="31"/>
      <c r="F55" s="31"/>
    </row>
    <row r="56" spans="2:6" ht="21" x14ac:dyDescent="0.35">
      <c r="B56" s="31"/>
      <c r="C56" s="32"/>
      <c r="D56" s="32"/>
      <c r="E56" s="31"/>
      <c r="F56" s="31"/>
    </row>
    <row r="57" spans="2:6" ht="21" x14ac:dyDescent="0.35">
      <c r="B57" s="31"/>
      <c r="C57" s="32"/>
      <c r="D57" s="32"/>
      <c r="E57" s="31"/>
      <c r="F57" s="31"/>
    </row>
    <row r="58" spans="2:6" ht="21" x14ac:dyDescent="0.35">
      <c r="B58" s="31"/>
      <c r="C58" s="32"/>
      <c r="D58" s="32"/>
      <c r="E58" s="31"/>
      <c r="F58" s="31"/>
    </row>
  </sheetData>
  <phoneticPr fontId="9" type="noConversion"/>
  <pageMargins left="0.7" right="0.7" top="0.75" bottom="0.75" header="0.3" footer="0.3"/>
  <pageSetup paperSize="9" orientation="portrait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F48"/>
  <sheetViews>
    <sheetView topLeftCell="A22" zoomScale="90" zoomScaleNormal="90" workbookViewId="0">
      <selection activeCell="F39" sqref="F39"/>
    </sheetView>
  </sheetViews>
  <sheetFormatPr defaultColWidth="9.140625" defaultRowHeight="18.75" x14ac:dyDescent="0.3"/>
  <cols>
    <col min="1" max="1" width="3.85546875" style="8" customWidth="1"/>
    <col min="2" max="2" width="25.85546875" style="8" bestFit="1" customWidth="1"/>
    <col min="3" max="3" width="13" style="8" bestFit="1" customWidth="1"/>
    <col min="4" max="4" width="17.42578125" style="8" bestFit="1" customWidth="1"/>
    <col min="5" max="5" width="15" style="8" bestFit="1" customWidth="1"/>
    <col min="6" max="6" width="66.5703125" style="8" bestFit="1" customWidth="1"/>
    <col min="7" max="7" width="14.42578125" style="8" customWidth="1"/>
    <col min="8" max="8" width="29.85546875" style="8" customWidth="1"/>
    <col min="9" max="16384" width="9.140625" style="8"/>
  </cols>
  <sheetData>
    <row r="25" spans="1:6" x14ac:dyDescent="0.3">
      <c r="F25" s="1"/>
    </row>
    <row r="26" spans="1:6" x14ac:dyDescent="0.3">
      <c r="B26" s="25" t="s">
        <v>11</v>
      </c>
      <c r="C26" s="26"/>
      <c r="D26" s="26"/>
    </row>
    <row r="27" spans="1:6" x14ac:dyDescent="0.3">
      <c r="A27" s="1"/>
      <c r="B27" s="25" t="s">
        <v>67</v>
      </c>
      <c r="C27" s="26"/>
      <c r="D27" s="26"/>
    </row>
    <row r="28" spans="1:6" x14ac:dyDescent="0.3">
      <c r="B28" s="29" t="s">
        <v>34</v>
      </c>
      <c r="C28" s="28">
        <v>0</v>
      </c>
      <c r="D28" s="28"/>
    </row>
    <row r="29" spans="1:6" x14ac:dyDescent="0.3">
      <c r="B29" s="29" t="s">
        <v>35</v>
      </c>
      <c r="C29" s="28">
        <v>20</v>
      </c>
      <c r="D29" s="30" t="s">
        <v>13</v>
      </c>
    </row>
    <row r="30" spans="1:6" x14ac:dyDescent="0.3">
      <c r="B30" s="29" t="s">
        <v>47</v>
      </c>
      <c r="C30" s="28">
        <v>99.71</v>
      </c>
      <c r="D30" s="28"/>
    </row>
    <row r="31" spans="1:6" x14ac:dyDescent="0.3">
      <c r="B31" s="29" t="s">
        <v>52</v>
      </c>
      <c r="C31" s="28">
        <f>100</f>
        <v>100</v>
      </c>
      <c r="D31" s="28"/>
    </row>
    <row r="32" spans="1:6" x14ac:dyDescent="0.3">
      <c r="B32" s="29" t="s">
        <v>62</v>
      </c>
      <c r="C32" s="28">
        <f>12.5%</f>
        <v>0.125</v>
      </c>
      <c r="D32" s="28"/>
    </row>
    <row r="33" spans="2:4" x14ac:dyDescent="0.3">
      <c r="B33" s="29" t="s">
        <v>63</v>
      </c>
      <c r="C33" s="28">
        <v>365</v>
      </c>
      <c r="D33" s="28"/>
    </row>
    <row r="36" spans="2:4" x14ac:dyDescent="0.3">
      <c r="B36" s="58" t="s">
        <v>64</v>
      </c>
      <c r="C36" s="65">
        <f>C31-C30</f>
        <v>0.29000000000000625</v>
      </c>
      <c r="D36" s="63"/>
    </row>
    <row r="37" spans="2:4" x14ac:dyDescent="0.3">
      <c r="B37" s="58" t="s">
        <v>65</v>
      </c>
      <c r="C37" s="65">
        <f>C30+C32*C36</f>
        <v>99.746249999999989</v>
      </c>
      <c r="D37" s="63"/>
    </row>
    <row r="38" spans="2:4" x14ac:dyDescent="0.3">
      <c r="B38" s="58" t="s">
        <v>66</v>
      </c>
      <c r="C38" s="65">
        <f>C31-C37</f>
        <v>0.2537500000000108</v>
      </c>
      <c r="D38" s="63"/>
    </row>
    <row r="40" spans="2:4" x14ac:dyDescent="0.3">
      <c r="B40" s="154" t="s">
        <v>135</v>
      </c>
      <c r="C40" s="155"/>
      <c r="D40" s="156"/>
    </row>
    <row r="41" spans="2:4" x14ac:dyDescent="0.3">
      <c r="B41" s="58" t="s">
        <v>23</v>
      </c>
      <c r="C41" s="66">
        <f>(1+C38/C37)^(C33/C29)-1</f>
        <v>4.7460045748293656E-2</v>
      </c>
      <c r="D41" s="63"/>
    </row>
    <row r="42" spans="2:4" x14ac:dyDescent="0.3">
      <c r="B42" s="58" t="s">
        <v>24</v>
      </c>
      <c r="C42" s="63">
        <f>LN(1+C41)</f>
        <v>4.6368229602983507E-2</v>
      </c>
      <c r="D42" s="62" t="s">
        <v>25</v>
      </c>
    </row>
    <row r="43" spans="2:4" x14ac:dyDescent="0.3">
      <c r="B43" s="58" t="s">
        <v>26</v>
      </c>
      <c r="C43" s="66">
        <f>(1+C41)^(1/2)-1</f>
        <v>2.3454955407561373E-2</v>
      </c>
      <c r="D43" s="63"/>
    </row>
    <row r="44" spans="2:4" x14ac:dyDescent="0.3">
      <c r="B44" s="58" t="s">
        <v>24</v>
      </c>
      <c r="C44" s="63">
        <f>LN(1+C43)</f>
        <v>2.318411480149165E-2</v>
      </c>
      <c r="D44" s="62" t="s">
        <v>27</v>
      </c>
    </row>
    <row r="46" spans="2:4" x14ac:dyDescent="0.3">
      <c r="B46" s="154" t="s">
        <v>136</v>
      </c>
      <c r="C46" s="155"/>
      <c r="D46" s="156"/>
    </row>
    <row r="47" spans="2:4" x14ac:dyDescent="0.3">
      <c r="B47" s="58" t="s">
        <v>23</v>
      </c>
      <c r="C47" s="66">
        <f>C38/C37*C33/C29</f>
        <v>4.6427183979349571E-2</v>
      </c>
      <c r="D47" s="63"/>
    </row>
    <row r="48" spans="2:4" x14ac:dyDescent="0.3">
      <c r="B48" s="58" t="s">
        <v>26</v>
      </c>
      <c r="C48" s="66">
        <f>C47/2</f>
        <v>2.3213591989674785E-2</v>
      </c>
      <c r="D48" s="63"/>
    </row>
  </sheetData>
  <mergeCells count="2">
    <mergeCell ref="B40:D40"/>
    <mergeCell ref="B46:D46"/>
  </mergeCells>
  <phoneticPr fontId="9" type="noConversion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E36"/>
  <sheetViews>
    <sheetView workbookViewId="0">
      <selection activeCell="C34" sqref="C34:C36"/>
    </sheetView>
  </sheetViews>
  <sheetFormatPr defaultColWidth="9.140625" defaultRowHeight="18.75" x14ac:dyDescent="0.3"/>
  <cols>
    <col min="1" max="1" width="9.140625" style="8"/>
    <col min="2" max="2" width="4" style="8" customWidth="1"/>
    <col min="3" max="3" width="22.85546875" style="8" bestFit="1" customWidth="1"/>
    <col min="4" max="4" width="13.7109375" style="8" bestFit="1" customWidth="1"/>
    <col min="5" max="5" width="9.140625" style="8"/>
    <col min="6" max="6" width="5.28515625" style="8" bestFit="1" customWidth="1"/>
    <col min="7" max="7" width="57.85546875" style="8" customWidth="1"/>
    <col min="8" max="8" width="11.42578125" style="8" customWidth="1"/>
    <col min="9" max="9" width="14.5703125" style="8" bestFit="1" customWidth="1"/>
    <col min="10" max="10" width="9.7109375" style="8" bestFit="1" customWidth="1"/>
    <col min="11" max="11" width="10.28515625" style="8" bestFit="1" customWidth="1"/>
    <col min="12" max="16384" width="9.140625" style="8"/>
  </cols>
  <sheetData>
    <row r="17" spans="2:5" x14ac:dyDescent="0.3">
      <c r="C17" s="25" t="s">
        <v>11</v>
      </c>
      <c r="D17" s="26"/>
      <c r="E17" s="26"/>
    </row>
    <row r="18" spans="2:5" x14ac:dyDescent="0.3">
      <c r="C18" s="29" t="s">
        <v>34</v>
      </c>
      <c r="D18" s="28">
        <v>0</v>
      </c>
      <c r="E18" s="28"/>
    </row>
    <row r="19" spans="2:5" x14ac:dyDescent="0.3">
      <c r="C19" s="29" t="s">
        <v>35</v>
      </c>
      <c r="D19" s="28">
        <f>3.5</f>
        <v>3.5</v>
      </c>
      <c r="E19" s="28"/>
    </row>
    <row r="20" spans="2:5" x14ac:dyDescent="0.3">
      <c r="C20" s="29" t="s">
        <v>68</v>
      </c>
      <c r="D20" s="28">
        <v>50</v>
      </c>
      <c r="E20" s="28"/>
    </row>
    <row r="21" spans="2:5" x14ac:dyDescent="0.3">
      <c r="C21" s="29" t="s">
        <v>49</v>
      </c>
      <c r="D21" s="28"/>
      <c r="E21" s="28"/>
    </row>
    <row r="22" spans="2:5" x14ac:dyDescent="0.3">
      <c r="C22" s="29" t="s">
        <v>26</v>
      </c>
      <c r="D22" s="28">
        <f>5.5%</f>
        <v>5.5E-2</v>
      </c>
      <c r="E22" s="28"/>
    </row>
    <row r="23" spans="2:5" x14ac:dyDescent="0.3">
      <c r="C23" s="29" t="s">
        <v>23</v>
      </c>
      <c r="D23" s="28">
        <f>12%</f>
        <v>0.12</v>
      </c>
      <c r="E23" s="28"/>
    </row>
    <row r="24" spans="2:5" x14ac:dyDescent="0.3">
      <c r="C24" s="29" t="s">
        <v>24</v>
      </c>
      <c r="D24" s="28">
        <v>0.11</v>
      </c>
      <c r="E24" s="30" t="s">
        <v>25</v>
      </c>
    </row>
    <row r="25" spans="2:5" x14ac:dyDescent="0.3">
      <c r="C25" s="29" t="s">
        <v>51</v>
      </c>
      <c r="D25" s="28"/>
      <c r="E25" s="28"/>
    </row>
    <row r="26" spans="2:5" x14ac:dyDescent="0.3">
      <c r="C26" s="29" t="s">
        <v>26</v>
      </c>
      <c r="D26" s="28">
        <f>6%</f>
        <v>0.06</v>
      </c>
      <c r="E26" s="28"/>
    </row>
    <row r="27" spans="2:5" x14ac:dyDescent="0.3">
      <c r="C27" s="29" t="s">
        <v>23</v>
      </c>
      <c r="D27" s="28">
        <f>11.5%</f>
        <v>0.115</v>
      </c>
      <c r="E27" s="28"/>
    </row>
    <row r="29" spans="2:5" x14ac:dyDescent="0.3">
      <c r="C29" s="58" t="s">
        <v>22</v>
      </c>
      <c r="D29" s="63"/>
    </row>
    <row r="30" spans="2:5" x14ac:dyDescent="0.3">
      <c r="B30" s="73" t="s">
        <v>57</v>
      </c>
      <c r="C30" s="58" t="s">
        <v>47</v>
      </c>
      <c r="D30" s="65">
        <f>D20/((1+D22)^(D19*2)-1)</f>
        <v>109.96765252077822</v>
      </c>
    </row>
    <row r="31" spans="2:5" x14ac:dyDescent="0.3">
      <c r="B31" s="73" t="s">
        <v>58</v>
      </c>
      <c r="C31" s="58" t="s">
        <v>47</v>
      </c>
      <c r="D31" s="65">
        <f>D20/((1+D23)^D19-1)</f>
        <v>102.70398240064894</v>
      </c>
    </row>
    <row r="32" spans="2:5" x14ac:dyDescent="0.3">
      <c r="B32" s="73" t="s">
        <v>59</v>
      </c>
      <c r="C32" s="58" t="s">
        <v>47</v>
      </c>
      <c r="D32" s="65">
        <f>D20/(EXP(D24*D19)-1)</f>
        <v>106.47034751104026</v>
      </c>
    </row>
    <row r="33" spans="2:4" x14ac:dyDescent="0.3">
      <c r="B33" s="73"/>
    </row>
    <row r="34" spans="2:4" x14ac:dyDescent="0.3">
      <c r="B34" s="74"/>
      <c r="C34" s="58" t="s">
        <v>69</v>
      </c>
      <c r="D34" s="63"/>
    </row>
    <row r="35" spans="2:4" x14ac:dyDescent="0.3">
      <c r="B35" s="73" t="s">
        <v>60</v>
      </c>
      <c r="C35" s="58" t="s">
        <v>47</v>
      </c>
      <c r="D35" s="65">
        <f>D20/(D26*D19*2)</f>
        <v>119.04761904761905</v>
      </c>
    </row>
    <row r="36" spans="2:4" x14ac:dyDescent="0.3">
      <c r="B36" s="73" t="s">
        <v>61</v>
      </c>
      <c r="C36" s="58" t="s">
        <v>47</v>
      </c>
      <c r="D36" s="65">
        <f>D20/(D27*D19)</f>
        <v>124.22360248447204</v>
      </c>
    </row>
  </sheetData>
  <phoneticPr fontId="9" type="noConversion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9:P38"/>
  <sheetViews>
    <sheetView showGridLines="0" showWhiteSpace="0" zoomScale="80" zoomScaleNormal="80" workbookViewId="0">
      <selection activeCell="AI21" sqref="AI21"/>
    </sheetView>
  </sheetViews>
  <sheetFormatPr defaultColWidth="3" defaultRowHeight="18.75" x14ac:dyDescent="0.3"/>
  <cols>
    <col min="1" max="1" width="4.28515625" style="16" customWidth="1"/>
    <col min="2" max="2" width="18.42578125" style="16" bestFit="1" customWidth="1"/>
    <col min="3" max="3" width="8.85546875" style="16" customWidth="1"/>
    <col min="4" max="4" width="6.85546875" style="16" customWidth="1"/>
    <col min="5" max="5" width="7.140625" style="16" customWidth="1"/>
    <col min="6" max="7" width="3" style="16"/>
    <col min="8" max="8" width="29.140625" style="16" bestFit="1" customWidth="1"/>
    <col min="9" max="10" width="17.28515625" style="16" bestFit="1" customWidth="1"/>
    <col min="11" max="11" width="29.28515625" style="16" bestFit="1" customWidth="1"/>
    <col min="12" max="12" width="17.28515625" style="16" bestFit="1" customWidth="1"/>
    <col min="13" max="13" width="18" style="16" bestFit="1" customWidth="1"/>
    <col min="14" max="14" width="29.28515625" style="16" bestFit="1" customWidth="1"/>
    <col min="15" max="15" width="16.7109375" style="16" customWidth="1"/>
    <col min="16" max="16" width="14.5703125" style="16" customWidth="1"/>
    <col min="17" max="16384" width="3" style="16"/>
  </cols>
  <sheetData>
    <row r="19" spans="2:16" ht="9" customHeight="1" x14ac:dyDescent="0.3"/>
    <row r="20" spans="2:16" x14ac:dyDescent="0.3">
      <c r="B20" s="162" t="s">
        <v>0</v>
      </c>
      <c r="C20" s="163"/>
      <c r="D20" s="163"/>
      <c r="E20" s="164"/>
      <c r="H20" s="17" t="s">
        <v>1</v>
      </c>
      <c r="I20" s="166" t="s">
        <v>2</v>
      </c>
      <c r="J20" s="167"/>
      <c r="K20" s="17" t="s">
        <v>1</v>
      </c>
      <c r="L20" s="166" t="s">
        <v>2</v>
      </c>
      <c r="M20" s="167"/>
      <c r="N20" s="17" t="s">
        <v>1</v>
      </c>
      <c r="O20" s="166" t="s">
        <v>2</v>
      </c>
      <c r="P20" s="167"/>
    </row>
    <row r="21" spans="2:16" x14ac:dyDescent="0.3">
      <c r="B21" s="17" t="s">
        <v>3</v>
      </c>
      <c r="C21" s="168">
        <v>360</v>
      </c>
      <c r="D21" s="169"/>
      <c r="E21" s="170"/>
      <c r="H21" s="17" t="s">
        <v>4</v>
      </c>
      <c r="I21" s="17" t="s">
        <v>5</v>
      </c>
      <c r="J21" s="17" t="s">
        <v>6</v>
      </c>
      <c r="K21" s="17" t="s">
        <v>7</v>
      </c>
      <c r="L21" s="17" t="s">
        <v>5</v>
      </c>
      <c r="M21" s="17" t="s">
        <v>6</v>
      </c>
      <c r="N21" s="17" t="s">
        <v>8</v>
      </c>
      <c r="O21" s="17" t="s">
        <v>5</v>
      </c>
      <c r="P21" s="17" t="s">
        <v>6</v>
      </c>
    </row>
    <row r="22" spans="2:16" x14ac:dyDescent="0.3">
      <c r="B22" s="17" t="s">
        <v>9</v>
      </c>
      <c r="C22" s="168">
        <v>30</v>
      </c>
      <c r="D22" s="169"/>
      <c r="E22" s="170"/>
      <c r="H22" s="18">
        <v>1</v>
      </c>
      <c r="I22" s="41">
        <f>(1+$C$23)^(H22/$C$26)-1</f>
        <v>5.4225990499001675E-4</v>
      </c>
      <c r="J22" s="41">
        <f>$C$23*H22/$C$26</f>
        <v>5.5555555555555556E-4</v>
      </c>
      <c r="K22" s="42">
        <f>H22/$C$22</f>
        <v>3.3333333333333333E-2</v>
      </c>
      <c r="L22" s="41">
        <f>(1+$C$23)^(K22/$D$26)-1</f>
        <v>5.4225990499001675E-4</v>
      </c>
      <c r="M22" s="41">
        <f>$C$23*K22/$D$26</f>
        <v>5.5555555555555556E-4</v>
      </c>
      <c r="N22" s="42">
        <f>H22/$C$21</f>
        <v>2.7777777777777779E-3</v>
      </c>
      <c r="O22" s="41">
        <f>(1+$C$23)^(N22/$E$26)-1</f>
        <v>5.4225990499001675E-4</v>
      </c>
      <c r="P22" s="41">
        <f>$C$23*N22/$E$26</f>
        <v>5.5555555555555556E-4</v>
      </c>
    </row>
    <row r="23" spans="2:16" ht="20.25" x14ac:dyDescent="0.35">
      <c r="B23" s="17" t="s">
        <v>10</v>
      </c>
      <c r="C23" s="157">
        <v>0.05</v>
      </c>
      <c r="D23" s="158"/>
      <c r="E23" s="158"/>
      <c r="H23" s="18">
        <v>2</v>
      </c>
      <c r="I23" s="41">
        <f t="shared" ref="I23:I36" si="0">(1+$C$23)^(H23/$C$26)-1</f>
        <v>1.0848138557846276E-3</v>
      </c>
      <c r="J23" s="41">
        <f t="shared" ref="J23:J36" si="1">$C$23*H23/$C$26</f>
        <v>1.1111111111111111E-3</v>
      </c>
      <c r="K23" s="42">
        <f t="shared" ref="K23:K36" si="2">H23/$C$22</f>
        <v>6.6666666666666666E-2</v>
      </c>
      <c r="L23" s="41">
        <f t="shared" ref="L23:L36" si="3">(1+$C$23)^(K23/$D$26)-1</f>
        <v>1.0848138557846276E-3</v>
      </c>
      <c r="M23" s="41">
        <f t="shared" ref="M23:M36" si="4">$C$23*K23/$D$26</f>
        <v>1.1111111111111111E-3</v>
      </c>
      <c r="N23" s="42">
        <f t="shared" ref="N23:N36" si="5">H23/$C$21</f>
        <v>5.5555555555555558E-3</v>
      </c>
      <c r="O23" s="41">
        <f t="shared" ref="O23:O36" si="6">(1+$C$23)^(N23/$E$26)-1</f>
        <v>1.0848138557846276E-3</v>
      </c>
      <c r="P23" s="41">
        <f t="shared" ref="P23:P36" si="7">$C$23*N23/$E$26</f>
        <v>1.1111111111111111E-3</v>
      </c>
    </row>
    <row r="24" spans="2:16" x14ac:dyDescent="0.3">
      <c r="B24" s="165"/>
      <c r="C24" s="165"/>
      <c r="D24" s="165"/>
      <c r="E24" s="165"/>
      <c r="H24" s="18">
        <v>3</v>
      </c>
      <c r="I24" s="41">
        <f t="shared" si="0"/>
        <v>1.6276620118331753E-3</v>
      </c>
      <c r="J24" s="41">
        <f t="shared" si="1"/>
        <v>1.666666666666667E-3</v>
      </c>
      <c r="K24" s="42">
        <f t="shared" si="2"/>
        <v>0.1</v>
      </c>
      <c r="L24" s="41">
        <f t="shared" si="3"/>
        <v>1.6276620118331753E-3</v>
      </c>
      <c r="M24" s="41">
        <f t="shared" si="4"/>
        <v>1.666666666666667E-3</v>
      </c>
      <c r="N24" s="42">
        <f t="shared" si="5"/>
        <v>8.3333333333333332E-3</v>
      </c>
      <c r="O24" s="41">
        <f t="shared" si="6"/>
        <v>1.6276620118331753E-3</v>
      </c>
      <c r="P24" s="41">
        <f t="shared" si="7"/>
        <v>1.6666666666666668E-3</v>
      </c>
    </row>
    <row r="25" spans="2:16" x14ac:dyDescent="0.3">
      <c r="B25" s="39"/>
      <c r="C25" s="39" t="s">
        <v>71</v>
      </c>
      <c r="D25" s="39" t="s">
        <v>70</v>
      </c>
      <c r="E25" s="39" t="s">
        <v>53</v>
      </c>
      <c r="H25" s="18">
        <v>4</v>
      </c>
      <c r="I25" s="41">
        <f t="shared" si="0"/>
        <v>2.1708045326709335E-3</v>
      </c>
      <c r="J25" s="41">
        <f t="shared" si="1"/>
        <v>2.2222222222222222E-3</v>
      </c>
      <c r="K25" s="42">
        <f t="shared" si="2"/>
        <v>0.13333333333333333</v>
      </c>
      <c r="L25" s="41">
        <f t="shared" si="3"/>
        <v>2.1708045326709335E-3</v>
      </c>
      <c r="M25" s="41">
        <f t="shared" si="4"/>
        <v>2.2222222222222222E-3</v>
      </c>
      <c r="N25" s="42">
        <f t="shared" si="5"/>
        <v>1.1111111111111112E-2</v>
      </c>
      <c r="O25" s="41">
        <f t="shared" si="6"/>
        <v>2.1708045326709335E-3</v>
      </c>
      <c r="P25" s="41">
        <f t="shared" si="7"/>
        <v>2.2222222222222222E-3</v>
      </c>
    </row>
    <row r="26" spans="2:16" x14ac:dyDescent="0.3">
      <c r="B26" s="40" t="s">
        <v>72</v>
      </c>
      <c r="C26" s="40">
        <f>C22*3</f>
        <v>90</v>
      </c>
      <c r="D26" s="40">
        <f>3</f>
        <v>3</v>
      </c>
      <c r="E26" s="40">
        <f>0.25</f>
        <v>0.25</v>
      </c>
      <c r="H26" s="18">
        <v>5</v>
      </c>
      <c r="I26" s="41">
        <f t="shared" si="0"/>
        <v>2.7142415779206619E-3</v>
      </c>
      <c r="J26" s="41">
        <f t="shared" si="1"/>
        <v>2.7777777777777779E-3</v>
      </c>
      <c r="K26" s="42">
        <f t="shared" si="2"/>
        <v>0.16666666666666666</v>
      </c>
      <c r="L26" s="41">
        <f t="shared" si="3"/>
        <v>2.7142415779206619E-3</v>
      </c>
      <c r="M26" s="41">
        <f t="shared" si="4"/>
        <v>2.7777777777777779E-3</v>
      </c>
      <c r="N26" s="42">
        <f t="shared" si="5"/>
        <v>1.3888888888888888E-2</v>
      </c>
      <c r="O26" s="41">
        <f t="shared" si="6"/>
        <v>2.7142415779206619E-3</v>
      </c>
      <c r="P26" s="41">
        <f t="shared" si="7"/>
        <v>2.7777777777777779E-3</v>
      </c>
    </row>
    <row r="27" spans="2:16" x14ac:dyDescent="0.3">
      <c r="H27" s="18">
        <v>6</v>
      </c>
      <c r="I27" s="41">
        <f t="shared" si="0"/>
        <v>3.257973307290829E-3</v>
      </c>
      <c r="J27" s="41">
        <f t="shared" si="1"/>
        <v>3.333333333333334E-3</v>
      </c>
      <c r="K27" s="42">
        <f t="shared" si="2"/>
        <v>0.2</v>
      </c>
      <c r="L27" s="41">
        <f t="shared" si="3"/>
        <v>3.257973307290829E-3</v>
      </c>
      <c r="M27" s="41">
        <f t="shared" si="4"/>
        <v>3.333333333333334E-3</v>
      </c>
      <c r="N27" s="42">
        <f t="shared" si="5"/>
        <v>1.6666666666666666E-2</v>
      </c>
      <c r="O27" s="41">
        <f t="shared" si="6"/>
        <v>3.257973307290829E-3</v>
      </c>
      <c r="P27" s="41">
        <f t="shared" si="7"/>
        <v>3.3333333333333335E-3</v>
      </c>
    </row>
    <row r="28" spans="2:16" x14ac:dyDescent="0.3">
      <c r="H28" s="18">
        <v>7</v>
      </c>
      <c r="I28" s="41">
        <f t="shared" si="0"/>
        <v>3.801999880576945E-3</v>
      </c>
      <c r="J28" s="41">
        <f t="shared" si="1"/>
        <v>3.8888888888888892E-3</v>
      </c>
      <c r="K28" s="42">
        <f t="shared" si="2"/>
        <v>0.23333333333333334</v>
      </c>
      <c r="L28" s="41">
        <f t="shared" si="3"/>
        <v>3.801999880576945E-3</v>
      </c>
      <c r="M28" s="41">
        <f t="shared" si="4"/>
        <v>3.8888888888888892E-3</v>
      </c>
      <c r="N28" s="42">
        <f t="shared" si="5"/>
        <v>1.9444444444444445E-2</v>
      </c>
      <c r="O28" s="41">
        <f t="shared" si="6"/>
        <v>3.801999880576945E-3</v>
      </c>
      <c r="P28" s="41">
        <f t="shared" si="7"/>
        <v>3.8888888888888892E-3</v>
      </c>
    </row>
    <row r="29" spans="2:16" x14ac:dyDescent="0.3">
      <c r="H29" s="18">
        <v>30</v>
      </c>
      <c r="I29" s="41">
        <f t="shared" si="0"/>
        <v>1.6396356814853519E-2</v>
      </c>
      <c r="J29" s="41">
        <f t="shared" si="1"/>
        <v>1.6666666666666666E-2</v>
      </c>
      <c r="K29" s="42">
        <f t="shared" si="2"/>
        <v>1</v>
      </c>
      <c r="L29" s="41">
        <f t="shared" si="3"/>
        <v>1.6396356814853519E-2</v>
      </c>
      <c r="M29" s="41">
        <f t="shared" si="4"/>
        <v>1.6666666666666666E-2</v>
      </c>
      <c r="N29" s="42">
        <f t="shared" si="5"/>
        <v>8.3333333333333329E-2</v>
      </c>
      <c r="O29" s="41">
        <f t="shared" si="6"/>
        <v>1.6396356814853519E-2</v>
      </c>
      <c r="P29" s="41">
        <f t="shared" si="7"/>
        <v>1.6666666666666666E-2</v>
      </c>
    </row>
    <row r="30" spans="2:16" x14ac:dyDescent="0.3">
      <c r="H30" s="18">
        <v>60</v>
      </c>
      <c r="I30" s="41">
        <f t="shared" si="0"/>
        <v>3.3061554146506911E-2</v>
      </c>
      <c r="J30" s="41">
        <f t="shared" si="1"/>
        <v>3.3333333333333333E-2</v>
      </c>
      <c r="K30" s="42">
        <f t="shared" si="2"/>
        <v>2</v>
      </c>
      <c r="L30" s="41">
        <f t="shared" si="3"/>
        <v>3.3061554146506911E-2</v>
      </c>
      <c r="M30" s="41">
        <f t="shared" si="4"/>
        <v>3.3333333333333333E-2</v>
      </c>
      <c r="N30" s="42">
        <f t="shared" si="5"/>
        <v>0.16666666666666666</v>
      </c>
      <c r="O30" s="41">
        <f t="shared" si="6"/>
        <v>3.3061554146506911E-2</v>
      </c>
      <c r="P30" s="41">
        <f t="shared" si="7"/>
        <v>3.3333333333333333E-2</v>
      </c>
    </row>
    <row r="31" spans="2:16" x14ac:dyDescent="0.3">
      <c r="H31" s="18">
        <v>90</v>
      </c>
      <c r="I31" s="41">
        <f t="shared" si="0"/>
        <v>5.0000000000000044E-2</v>
      </c>
      <c r="J31" s="41">
        <f t="shared" si="1"/>
        <v>0.05</v>
      </c>
      <c r="K31" s="42">
        <f t="shared" si="2"/>
        <v>3</v>
      </c>
      <c r="L31" s="41">
        <f t="shared" si="3"/>
        <v>5.0000000000000044E-2</v>
      </c>
      <c r="M31" s="41">
        <f t="shared" si="4"/>
        <v>5.000000000000001E-2</v>
      </c>
      <c r="N31" s="42">
        <f t="shared" si="5"/>
        <v>0.25</v>
      </c>
      <c r="O31" s="41">
        <f t="shared" si="6"/>
        <v>5.0000000000000044E-2</v>
      </c>
      <c r="P31" s="41">
        <f t="shared" si="7"/>
        <v>0.05</v>
      </c>
    </row>
    <row r="32" spans="2:16" x14ac:dyDescent="0.3">
      <c r="H32" s="18">
        <v>120</v>
      </c>
      <c r="I32" s="41">
        <f t="shared" si="0"/>
        <v>6.721617465559615E-2</v>
      </c>
      <c r="J32" s="41">
        <f t="shared" si="1"/>
        <v>6.6666666666666666E-2</v>
      </c>
      <c r="K32" s="42">
        <f t="shared" si="2"/>
        <v>4</v>
      </c>
      <c r="L32" s="41">
        <f t="shared" si="3"/>
        <v>6.721617465559615E-2</v>
      </c>
      <c r="M32" s="41">
        <f t="shared" si="4"/>
        <v>6.6666666666666666E-2</v>
      </c>
      <c r="N32" s="42">
        <f t="shared" si="5"/>
        <v>0.33333333333333331</v>
      </c>
      <c r="O32" s="41">
        <f t="shared" si="6"/>
        <v>6.721617465559615E-2</v>
      </c>
      <c r="P32" s="41">
        <f t="shared" si="7"/>
        <v>6.6666666666666666E-2</v>
      </c>
    </row>
    <row r="33" spans="1:16" x14ac:dyDescent="0.3">
      <c r="B33" s="19"/>
      <c r="C33" s="19"/>
      <c r="D33" s="19"/>
      <c r="E33" s="19"/>
      <c r="H33" s="18">
        <v>150</v>
      </c>
      <c r="I33" s="41">
        <f t="shared" si="0"/>
        <v>8.4714631853832323E-2</v>
      </c>
      <c r="J33" s="41">
        <f t="shared" si="1"/>
        <v>8.3333333333333329E-2</v>
      </c>
      <c r="K33" s="42">
        <f t="shared" si="2"/>
        <v>5</v>
      </c>
      <c r="L33" s="41">
        <f t="shared" si="3"/>
        <v>8.4714631853832323E-2</v>
      </c>
      <c r="M33" s="41">
        <f t="shared" si="4"/>
        <v>8.3333333333333329E-2</v>
      </c>
      <c r="N33" s="42">
        <f t="shared" si="5"/>
        <v>0.41666666666666669</v>
      </c>
      <c r="O33" s="41">
        <f t="shared" si="6"/>
        <v>8.4714631853832323E-2</v>
      </c>
      <c r="P33" s="41">
        <f t="shared" si="7"/>
        <v>8.3333333333333343E-2</v>
      </c>
    </row>
    <row r="34" spans="1:16" x14ac:dyDescent="0.3">
      <c r="B34" s="19"/>
      <c r="C34" s="19"/>
      <c r="D34" s="19"/>
      <c r="E34" s="19"/>
      <c r="H34" s="18">
        <v>180</v>
      </c>
      <c r="I34" s="41">
        <f t="shared" si="0"/>
        <v>0.10250000000000004</v>
      </c>
      <c r="J34" s="41">
        <f t="shared" si="1"/>
        <v>0.1</v>
      </c>
      <c r="K34" s="42">
        <f t="shared" si="2"/>
        <v>6</v>
      </c>
      <c r="L34" s="41">
        <f t="shared" si="3"/>
        <v>0.10250000000000004</v>
      </c>
      <c r="M34" s="41">
        <f t="shared" si="4"/>
        <v>0.10000000000000002</v>
      </c>
      <c r="N34" s="42">
        <f t="shared" si="5"/>
        <v>0.5</v>
      </c>
      <c r="O34" s="41">
        <f t="shared" si="6"/>
        <v>0.10250000000000004</v>
      </c>
      <c r="P34" s="41">
        <f t="shared" si="7"/>
        <v>0.1</v>
      </c>
    </row>
    <row r="35" spans="1:16" x14ac:dyDescent="0.3">
      <c r="D35" s="19"/>
      <c r="E35" s="19"/>
      <c r="H35" s="18">
        <v>360</v>
      </c>
      <c r="I35" s="41">
        <f t="shared" si="0"/>
        <v>0.21550625000000001</v>
      </c>
      <c r="J35" s="41">
        <f t="shared" si="1"/>
        <v>0.2</v>
      </c>
      <c r="K35" s="42">
        <f t="shared" si="2"/>
        <v>12</v>
      </c>
      <c r="L35" s="41">
        <f t="shared" si="3"/>
        <v>0.21550625000000001</v>
      </c>
      <c r="M35" s="41">
        <f t="shared" si="4"/>
        <v>0.20000000000000004</v>
      </c>
      <c r="N35" s="42">
        <f t="shared" si="5"/>
        <v>1</v>
      </c>
      <c r="O35" s="41">
        <f t="shared" si="6"/>
        <v>0.21550625000000001</v>
      </c>
      <c r="P35" s="41">
        <f t="shared" si="7"/>
        <v>0.2</v>
      </c>
    </row>
    <row r="36" spans="1:16" x14ac:dyDescent="0.3">
      <c r="A36" s="161"/>
      <c r="B36" s="160"/>
      <c r="C36" s="160"/>
      <c r="D36" s="19"/>
      <c r="E36" s="19"/>
      <c r="H36" s="18">
        <v>720</v>
      </c>
      <c r="I36" s="41">
        <f t="shared" si="0"/>
        <v>0.47745544378906257</v>
      </c>
      <c r="J36" s="41">
        <f t="shared" si="1"/>
        <v>0.4</v>
      </c>
      <c r="K36" s="42">
        <f t="shared" si="2"/>
        <v>24</v>
      </c>
      <c r="L36" s="41">
        <f t="shared" si="3"/>
        <v>0.47745544378906257</v>
      </c>
      <c r="M36" s="41">
        <f t="shared" si="4"/>
        <v>0.40000000000000008</v>
      </c>
      <c r="N36" s="42">
        <f t="shared" si="5"/>
        <v>2</v>
      </c>
      <c r="O36" s="41">
        <f t="shared" si="6"/>
        <v>0.47745544378906257</v>
      </c>
      <c r="P36" s="41">
        <f t="shared" si="7"/>
        <v>0.4</v>
      </c>
    </row>
    <row r="37" spans="1:16" x14ac:dyDescent="0.3">
      <c r="A37" s="159"/>
      <c r="B37" s="160"/>
      <c r="C37" s="160"/>
      <c r="O37" s="20"/>
    </row>
    <row r="38" spans="1:16" x14ac:dyDescent="0.3">
      <c r="A38" s="159"/>
      <c r="B38" s="160"/>
      <c r="C38" s="160"/>
    </row>
  </sheetData>
  <mergeCells count="11">
    <mergeCell ref="I20:J20"/>
    <mergeCell ref="L20:M20"/>
    <mergeCell ref="O20:P20"/>
    <mergeCell ref="C21:E21"/>
    <mergeCell ref="C22:E22"/>
    <mergeCell ref="C23:E23"/>
    <mergeCell ref="A38:C38"/>
    <mergeCell ref="A36:C36"/>
    <mergeCell ref="A37:C37"/>
    <mergeCell ref="B20:E20"/>
    <mergeCell ref="B24:E24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9:I62"/>
  <sheetViews>
    <sheetView workbookViewId="0">
      <selection activeCell="C30" sqref="C30"/>
    </sheetView>
  </sheetViews>
  <sheetFormatPr defaultRowHeight="15" x14ac:dyDescent="0.25"/>
  <cols>
    <col min="2" max="2" width="17.7109375" bestFit="1" customWidth="1"/>
    <col min="3" max="3" width="17.140625" bestFit="1" customWidth="1"/>
    <col min="4" max="4" width="12.5703125" customWidth="1"/>
  </cols>
  <sheetData>
    <row r="19" spans="2:4" ht="18.75" x14ac:dyDescent="0.3">
      <c r="B19" s="25" t="s">
        <v>11</v>
      </c>
      <c r="C19" s="26"/>
      <c r="D19" s="26"/>
    </row>
    <row r="20" spans="2:4" ht="18.75" x14ac:dyDescent="0.3">
      <c r="B20" s="29" t="s">
        <v>12</v>
      </c>
      <c r="C20" s="28">
        <v>10</v>
      </c>
      <c r="D20" s="30" t="s">
        <v>48</v>
      </c>
    </row>
    <row r="21" spans="2:4" ht="18.75" x14ac:dyDescent="0.3">
      <c r="B21" s="29" t="s">
        <v>74</v>
      </c>
      <c r="C21" s="28">
        <v>2000</v>
      </c>
      <c r="D21" s="28"/>
    </row>
    <row r="22" spans="2:4" ht="18.75" x14ac:dyDescent="0.3">
      <c r="B22" s="29" t="s">
        <v>137</v>
      </c>
      <c r="C22" s="28"/>
      <c r="D22" s="28"/>
    </row>
    <row r="23" spans="2:4" ht="18.75" x14ac:dyDescent="0.3">
      <c r="B23" s="29" t="s">
        <v>138</v>
      </c>
      <c r="C23" s="86">
        <v>0.04</v>
      </c>
      <c r="D23" s="28"/>
    </row>
    <row r="24" spans="2:4" ht="18.75" x14ac:dyDescent="0.3">
      <c r="B24" s="29" t="s">
        <v>139</v>
      </c>
      <c r="C24" s="55" t="s">
        <v>140</v>
      </c>
      <c r="D24" s="28"/>
    </row>
    <row r="25" spans="2:4" ht="18.75" x14ac:dyDescent="0.3">
      <c r="B25" s="27"/>
      <c r="C25" s="28"/>
      <c r="D25" s="28"/>
    </row>
    <row r="26" spans="2:4" ht="18.75" x14ac:dyDescent="0.3">
      <c r="B26" s="29" t="s">
        <v>143</v>
      </c>
      <c r="C26" s="86">
        <v>0.03</v>
      </c>
      <c r="D26" s="28"/>
    </row>
    <row r="27" spans="2:4" ht="18.75" x14ac:dyDescent="0.3">
      <c r="B27" s="27"/>
      <c r="C27" s="28"/>
      <c r="D27" s="28"/>
    </row>
    <row r="30" spans="2:4" ht="18.75" x14ac:dyDescent="0.3">
      <c r="B30" s="88" t="s">
        <v>141</v>
      </c>
      <c r="C30" s="103">
        <f>C23/4</f>
        <v>0.01</v>
      </c>
      <c r="D30" s="61"/>
    </row>
    <row r="31" spans="2:4" ht="18.75" x14ac:dyDescent="0.3">
      <c r="B31" s="88" t="s">
        <v>142</v>
      </c>
      <c r="C31" s="103">
        <f>(1+C30)^4-1</f>
        <v>4.0604010000000024E-2</v>
      </c>
      <c r="D31" s="61"/>
    </row>
    <row r="33" spans="2:4" ht="18.75" x14ac:dyDescent="0.3">
      <c r="B33" s="88" t="s">
        <v>68</v>
      </c>
      <c r="C33" s="59">
        <f>C21*((1+C26)^0.25-1)</f>
        <v>14.834143555465751</v>
      </c>
      <c r="D33" s="61"/>
    </row>
    <row r="36" spans="2:4" ht="18.75" x14ac:dyDescent="0.3">
      <c r="B36" s="171" t="s">
        <v>144</v>
      </c>
      <c r="C36" s="171"/>
      <c r="D36" s="171"/>
    </row>
    <row r="37" spans="2:4" ht="18.75" x14ac:dyDescent="0.3">
      <c r="B37" s="88" t="s">
        <v>96</v>
      </c>
      <c r="C37" s="61">
        <f>-C21*(1+C26)^(2/12)</f>
        <v>-2009.8772440623939</v>
      </c>
      <c r="D37" s="61"/>
    </row>
    <row r="62" spans="9:9" x14ac:dyDescent="0.25">
      <c r="I62" s="87"/>
    </row>
  </sheetData>
  <mergeCells count="1">
    <mergeCell ref="B36:D3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M77"/>
  <sheetViews>
    <sheetView showGridLines="0" topLeftCell="A19" zoomScaleNormal="120" workbookViewId="0">
      <selection activeCell="J49" sqref="J49"/>
    </sheetView>
  </sheetViews>
  <sheetFormatPr defaultColWidth="8.85546875" defaultRowHeight="12" x14ac:dyDescent="0.2"/>
  <cols>
    <col min="1" max="1" width="2.42578125" style="21" customWidth="1"/>
    <col min="2" max="2" width="15.28515625" style="21" bestFit="1" customWidth="1"/>
    <col min="3" max="3" width="18.85546875" style="21" bestFit="1" customWidth="1"/>
    <col min="4" max="4" width="40" style="21" bestFit="1" customWidth="1"/>
    <col min="5" max="5" width="24.5703125" style="21" bestFit="1" customWidth="1"/>
    <col min="6" max="6" width="7.7109375" style="24" bestFit="1" customWidth="1"/>
    <col min="7" max="7" width="12.140625" style="22" bestFit="1" customWidth="1"/>
    <col min="8" max="8" width="15.5703125" style="24" customWidth="1"/>
    <col min="9" max="9" width="13.85546875" style="21" customWidth="1"/>
    <col min="10" max="10" width="40" style="23" bestFit="1" customWidth="1"/>
    <col min="11" max="11" width="24.5703125" style="21" bestFit="1" customWidth="1"/>
    <col min="12" max="13" width="12.140625" style="23" bestFit="1" customWidth="1"/>
    <col min="14" max="14" width="8.85546875" style="21"/>
    <col min="15" max="15" width="4.140625" style="21" bestFit="1" customWidth="1"/>
    <col min="16" max="16" width="7.7109375" style="21" bestFit="1" customWidth="1"/>
    <col min="17" max="18" width="12.140625" style="21" bestFit="1" customWidth="1"/>
    <col min="19" max="16384" width="8.85546875" style="21"/>
  </cols>
  <sheetData>
    <row r="22" spans="2:11" ht="18.75" x14ac:dyDescent="0.3">
      <c r="B22" s="25" t="s">
        <v>11</v>
      </c>
      <c r="C22" s="26"/>
      <c r="D22" s="26"/>
    </row>
    <row r="23" spans="2:11" ht="18.75" x14ac:dyDescent="0.3">
      <c r="B23" s="29" t="s">
        <v>34</v>
      </c>
      <c r="C23" s="28">
        <v>0</v>
      </c>
      <c r="D23" s="28"/>
    </row>
    <row r="24" spans="2:11" ht="18.75" x14ac:dyDescent="0.3">
      <c r="B24" s="29" t="s">
        <v>73</v>
      </c>
      <c r="C24" s="28">
        <v>5</v>
      </c>
      <c r="D24" s="30" t="s">
        <v>48</v>
      </c>
    </row>
    <row r="25" spans="2:11" ht="18.75" x14ac:dyDescent="0.3">
      <c r="B25" s="29" t="s">
        <v>68</v>
      </c>
      <c r="C25" s="28">
        <v>2.375</v>
      </c>
      <c r="D25" s="28"/>
    </row>
    <row r="26" spans="2:11" ht="18.75" x14ac:dyDescent="0.3">
      <c r="B26" s="29" t="s">
        <v>74</v>
      </c>
      <c r="C26" s="28">
        <v>100</v>
      </c>
      <c r="D26" s="28"/>
    </row>
    <row r="27" spans="2:11" ht="18.75" x14ac:dyDescent="0.3">
      <c r="B27" s="29" t="s">
        <v>75</v>
      </c>
      <c r="C27" s="43">
        <v>4.7500000000000001E-2</v>
      </c>
      <c r="D27" s="28"/>
    </row>
    <row r="30" spans="2:11" ht="21" x14ac:dyDescent="0.35">
      <c r="B30" s="44"/>
      <c r="C30" s="44"/>
      <c r="D30" s="44"/>
      <c r="E30" s="44"/>
      <c r="F30" s="45"/>
      <c r="G30" s="46"/>
      <c r="H30" s="45"/>
    </row>
    <row r="31" spans="2:11" ht="21" x14ac:dyDescent="0.35">
      <c r="B31" s="172" t="s">
        <v>22</v>
      </c>
      <c r="C31" s="172"/>
      <c r="D31" s="172"/>
      <c r="E31" s="172"/>
      <c r="F31" s="45"/>
      <c r="G31" s="46"/>
      <c r="H31" s="172" t="s">
        <v>69</v>
      </c>
      <c r="I31" s="172"/>
      <c r="J31" s="172"/>
      <c r="K31" s="172"/>
    </row>
    <row r="32" spans="2:11" ht="21" x14ac:dyDescent="0.35">
      <c r="B32" s="48" t="s">
        <v>76</v>
      </c>
      <c r="C32" s="49" t="s">
        <v>77</v>
      </c>
      <c r="D32" s="50" t="s">
        <v>78</v>
      </c>
      <c r="E32" s="51" t="s">
        <v>79</v>
      </c>
      <c r="F32" s="45"/>
      <c r="G32" s="46"/>
      <c r="H32" s="48" t="s">
        <v>76</v>
      </c>
      <c r="I32" s="49" t="s">
        <v>77</v>
      </c>
      <c r="J32" s="50" t="s">
        <v>78</v>
      </c>
      <c r="K32" s="51" t="s">
        <v>79</v>
      </c>
    </row>
    <row r="33" spans="2:11" ht="21" x14ac:dyDescent="0.35">
      <c r="B33" s="47">
        <v>0</v>
      </c>
      <c r="C33" s="82"/>
      <c r="D33" s="75"/>
      <c r="E33" s="82">
        <f>SUM(E34:E43)</f>
        <v>100.24305370307353</v>
      </c>
      <c r="F33" s="45"/>
      <c r="G33" s="46"/>
      <c r="H33" s="47">
        <v>0</v>
      </c>
      <c r="I33" s="82"/>
      <c r="J33" s="75"/>
      <c r="K33" s="82">
        <f>SUM(K34:K43)</f>
        <v>101.89112926786363</v>
      </c>
    </row>
    <row r="34" spans="2:11" ht="21" x14ac:dyDescent="0.35">
      <c r="B34" s="47">
        <v>0.5</v>
      </c>
      <c r="C34" s="83">
        <f>$C$25</f>
        <v>2.375</v>
      </c>
      <c r="D34" s="76">
        <f>1/(1+$C$27)^B34</f>
        <v>0.97706393749206299</v>
      </c>
      <c r="E34" s="77">
        <f>D34*C34</f>
        <v>2.3205268515436495</v>
      </c>
      <c r="F34" s="45"/>
      <c r="G34" s="46"/>
      <c r="H34" s="47">
        <v>0.5</v>
      </c>
      <c r="I34" s="83">
        <f>$C$25</f>
        <v>2.375</v>
      </c>
      <c r="J34" s="76">
        <f>1/(1+$C$27*H34)</f>
        <v>0.97680097680097688</v>
      </c>
      <c r="K34" s="77">
        <f>J34*I34</f>
        <v>2.3199023199023201</v>
      </c>
    </row>
    <row r="35" spans="2:11" ht="21" x14ac:dyDescent="0.35">
      <c r="B35" s="47">
        <v>1</v>
      </c>
      <c r="C35" s="83">
        <f t="shared" ref="C35:C42" si="0">$C$25</f>
        <v>2.375</v>
      </c>
      <c r="D35" s="76">
        <f t="shared" ref="D35:D43" si="1">1/(1+$C$27)^B35</f>
        <v>0.95465393794749398</v>
      </c>
      <c r="E35" s="77">
        <f t="shared" ref="E35:E43" si="2">D35*C35</f>
        <v>2.2673031026252981</v>
      </c>
      <c r="F35" s="45"/>
      <c r="G35" s="46"/>
      <c r="H35" s="47">
        <v>1</v>
      </c>
      <c r="I35" s="83">
        <f t="shared" ref="I35:I42" si="3">$C$25</f>
        <v>2.375</v>
      </c>
      <c r="J35" s="76">
        <f t="shared" ref="J35:J43" si="4">1/(1+$C$27*H35)</f>
        <v>0.95465393794749398</v>
      </c>
      <c r="K35" s="77">
        <f t="shared" ref="K35:K43" si="5">J35*I35</f>
        <v>2.2673031026252981</v>
      </c>
    </row>
    <row r="36" spans="2:11" ht="21" x14ac:dyDescent="0.35">
      <c r="B36" s="47">
        <v>1.5</v>
      </c>
      <c r="C36" s="83">
        <f t="shared" si="0"/>
        <v>2.375</v>
      </c>
      <c r="D36" s="76">
        <f t="shared" si="1"/>
        <v>0.93275793555328201</v>
      </c>
      <c r="E36" s="77">
        <f t="shared" si="2"/>
        <v>2.2153000969390448</v>
      </c>
      <c r="F36" s="45"/>
      <c r="G36" s="46"/>
      <c r="H36" s="47">
        <v>1.5</v>
      </c>
      <c r="I36" s="83">
        <f t="shared" si="3"/>
        <v>2.375</v>
      </c>
      <c r="J36" s="76">
        <f t="shared" si="4"/>
        <v>0.93348891481913654</v>
      </c>
      <c r="K36" s="77">
        <f t="shared" si="5"/>
        <v>2.2170361726954493</v>
      </c>
    </row>
    <row r="37" spans="2:11" ht="21" x14ac:dyDescent="0.35">
      <c r="B37" s="47">
        <v>2</v>
      </c>
      <c r="C37" s="83">
        <f t="shared" si="0"/>
        <v>2.375</v>
      </c>
      <c r="D37" s="76">
        <f t="shared" si="1"/>
        <v>0.91136414123865761</v>
      </c>
      <c r="E37" s="77">
        <f t="shared" si="2"/>
        <v>2.1644898354418118</v>
      </c>
      <c r="F37" s="45"/>
      <c r="G37" s="46"/>
      <c r="H37" s="47">
        <v>2</v>
      </c>
      <c r="I37" s="83">
        <f t="shared" si="3"/>
        <v>2.375</v>
      </c>
      <c r="J37" s="76">
        <f t="shared" si="4"/>
        <v>0.91324200913242015</v>
      </c>
      <c r="K37" s="77">
        <f t="shared" si="5"/>
        <v>2.1689497716894977</v>
      </c>
    </row>
    <row r="38" spans="2:11" ht="21" x14ac:dyDescent="0.35">
      <c r="B38" s="47">
        <v>2.5</v>
      </c>
      <c r="C38" s="83">
        <f t="shared" si="0"/>
        <v>2.375</v>
      </c>
      <c r="D38" s="76">
        <f t="shared" si="1"/>
        <v>0.89046103632771545</v>
      </c>
      <c r="E38" s="77">
        <f t="shared" si="2"/>
        <v>2.1148449612783242</v>
      </c>
      <c r="F38" s="45"/>
      <c r="G38" s="46"/>
      <c r="H38" s="47">
        <v>2.5</v>
      </c>
      <c r="I38" s="83">
        <f t="shared" si="3"/>
        <v>2.375</v>
      </c>
      <c r="J38" s="76">
        <f t="shared" si="4"/>
        <v>0.89385474860335201</v>
      </c>
      <c r="K38" s="77">
        <f t="shared" si="5"/>
        <v>2.1229050279329611</v>
      </c>
    </row>
    <row r="39" spans="2:11" ht="21" x14ac:dyDescent="0.35">
      <c r="B39" s="47">
        <v>3</v>
      </c>
      <c r="C39" s="83">
        <f t="shared" si="0"/>
        <v>2.375</v>
      </c>
      <c r="D39" s="76">
        <f t="shared" si="1"/>
        <v>0.87003736633762052</v>
      </c>
      <c r="E39" s="77">
        <f t="shared" si="2"/>
        <v>2.0663387450518487</v>
      </c>
      <c r="F39" s="45"/>
      <c r="G39" s="46"/>
      <c r="H39" s="47">
        <v>3</v>
      </c>
      <c r="I39" s="83">
        <f t="shared" si="3"/>
        <v>2.375</v>
      </c>
      <c r="J39" s="76">
        <f t="shared" si="4"/>
        <v>0.87527352297592997</v>
      </c>
      <c r="K39" s="77">
        <f t="shared" si="5"/>
        <v>2.0787746170678338</v>
      </c>
    </row>
    <row r="40" spans="2:11" ht="21" x14ac:dyDescent="0.35">
      <c r="B40" s="47">
        <v>3.5</v>
      </c>
      <c r="C40" s="83">
        <f t="shared" si="0"/>
        <v>2.375</v>
      </c>
      <c r="D40" s="76">
        <f t="shared" si="1"/>
        <v>0.85008213491905993</v>
      </c>
      <c r="E40" s="77">
        <f t="shared" si="2"/>
        <v>2.0189450704327672</v>
      </c>
      <c r="F40" s="45"/>
      <c r="G40" s="46"/>
      <c r="H40" s="47">
        <v>3.5</v>
      </c>
      <c r="I40" s="83">
        <f t="shared" si="3"/>
        <v>2.375</v>
      </c>
      <c r="J40" s="76">
        <f t="shared" si="4"/>
        <v>0.857449088960343</v>
      </c>
      <c r="K40" s="77">
        <f t="shared" si="5"/>
        <v>2.0364415862808145</v>
      </c>
    </row>
    <row r="41" spans="2:11" ht="21" x14ac:dyDescent="0.35">
      <c r="B41" s="47">
        <v>4</v>
      </c>
      <c r="C41" s="83">
        <f t="shared" si="0"/>
        <v>2.375</v>
      </c>
      <c r="D41" s="76">
        <f t="shared" si="1"/>
        <v>0.83058459793567585</v>
      </c>
      <c r="E41" s="77">
        <f t="shared" si="2"/>
        <v>1.9726384200972302</v>
      </c>
      <c r="F41" s="45"/>
      <c r="G41" s="46"/>
      <c r="H41" s="47">
        <v>4</v>
      </c>
      <c r="I41" s="83">
        <f t="shared" si="3"/>
        <v>2.375</v>
      </c>
      <c r="J41" s="76">
        <f t="shared" si="4"/>
        <v>0.84033613445378152</v>
      </c>
      <c r="K41" s="77">
        <f t="shared" si="5"/>
        <v>1.9957983193277311</v>
      </c>
    </row>
    <row r="42" spans="2:11" ht="21" x14ac:dyDescent="0.35">
      <c r="B42" s="47">
        <v>4.5</v>
      </c>
      <c r="C42" s="83">
        <f t="shared" si="0"/>
        <v>2.375</v>
      </c>
      <c r="D42" s="76">
        <f t="shared" si="1"/>
        <v>0.81153425767929344</v>
      </c>
      <c r="E42" s="77">
        <f t="shared" si="2"/>
        <v>1.927393861988322</v>
      </c>
      <c r="F42" s="45"/>
      <c r="G42" s="46"/>
      <c r="H42" s="47">
        <v>4.5</v>
      </c>
      <c r="I42" s="83">
        <f t="shared" si="3"/>
        <v>2.375</v>
      </c>
      <c r="J42" s="76">
        <f t="shared" si="4"/>
        <v>0.82389289392378984</v>
      </c>
      <c r="K42" s="77">
        <f t="shared" si="5"/>
        <v>1.9567456230690008</v>
      </c>
    </row>
    <row r="43" spans="2:11" ht="21" x14ac:dyDescent="0.35">
      <c r="B43" s="47">
        <v>5</v>
      </c>
      <c r="C43" s="83">
        <f>$C$25+C26</f>
        <v>102.375</v>
      </c>
      <c r="D43" s="76">
        <f t="shared" si="1"/>
        <v>0.7929208572178289</v>
      </c>
      <c r="E43" s="77">
        <f t="shared" si="2"/>
        <v>81.175272757675231</v>
      </c>
      <c r="F43" s="45"/>
      <c r="G43" s="46"/>
      <c r="H43" s="47">
        <v>5</v>
      </c>
      <c r="I43" s="83">
        <f>$C$25+C26</f>
        <v>102.375</v>
      </c>
      <c r="J43" s="76">
        <f t="shared" si="4"/>
        <v>0.80808080808080807</v>
      </c>
      <c r="K43" s="77">
        <f t="shared" si="5"/>
        <v>82.72727272727272</v>
      </c>
    </row>
    <row r="44" spans="2:11" ht="21" x14ac:dyDescent="0.35">
      <c r="B44" s="44"/>
      <c r="C44" s="44"/>
      <c r="D44" s="44"/>
      <c r="E44" s="44"/>
      <c r="F44" s="45"/>
      <c r="G44" s="46"/>
      <c r="H44" s="45"/>
    </row>
    <row r="45" spans="2:11" ht="21" x14ac:dyDescent="0.35">
      <c r="B45" s="44"/>
      <c r="C45" s="44"/>
      <c r="D45" s="44"/>
      <c r="E45" s="44"/>
      <c r="F45" s="45"/>
      <c r="G45" s="46"/>
      <c r="H45" s="45"/>
    </row>
    <row r="47" spans="2:11" ht="21" x14ac:dyDescent="0.35">
      <c r="B47" s="172" t="s">
        <v>22</v>
      </c>
      <c r="C47" s="172"/>
      <c r="D47" s="172"/>
      <c r="E47" s="172"/>
      <c r="H47" s="172" t="s">
        <v>69</v>
      </c>
      <c r="I47" s="172"/>
      <c r="J47" s="172"/>
      <c r="K47" s="172"/>
    </row>
    <row r="48" spans="2:11" ht="21" x14ac:dyDescent="0.35">
      <c r="B48" s="48" t="s">
        <v>76</v>
      </c>
      <c r="C48" s="49" t="s">
        <v>77</v>
      </c>
      <c r="D48" s="50" t="s">
        <v>103</v>
      </c>
      <c r="E48" s="51" t="s">
        <v>104</v>
      </c>
      <c r="H48" s="48" t="s">
        <v>76</v>
      </c>
      <c r="I48" s="49" t="s">
        <v>77</v>
      </c>
      <c r="J48" s="50" t="s">
        <v>103</v>
      </c>
      <c r="K48" s="51" t="s">
        <v>104</v>
      </c>
    </row>
    <row r="49" spans="2:11" ht="21" x14ac:dyDescent="0.35">
      <c r="B49" s="47">
        <v>0</v>
      </c>
      <c r="C49" s="84">
        <f>-E33</f>
        <v>-100.24305370307353</v>
      </c>
      <c r="D49" s="78">
        <f t="shared" ref="D49:D59" si="6">(1+$C$27)^($B$53-B49)</f>
        <v>1.0972562500000003</v>
      </c>
      <c r="E49" s="79">
        <f>C49*D49</f>
        <v>-109.9923171947831</v>
      </c>
      <c r="H49" s="47">
        <v>0</v>
      </c>
      <c r="I49" s="84">
        <f>-K33</f>
        <v>-101.89112926786363</v>
      </c>
      <c r="J49" s="78">
        <f>(1+$C$27*($H$53-H49))</f>
        <v>1.095</v>
      </c>
      <c r="K49" s="79">
        <f>I49*J49</f>
        <v>-111.57078654831068</v>
      </c>
    </row>
    <row r="50" spans="2:11" ht="21" x14ac:dyDescent="0.35">
      <c r="B50" s="47">
        <v>0.5</v>
      </c>
      <c r="C50" s="83">
        <f>$C$25</f>
        <v>2.375</v>
      </c>
      <c r="D50" s="80">
        <f t="shared" si="6"/>
        <v>1.0720895120627756</v>
      </c>
      <c r="E50" s="79">
        <f t="shared" ref="E50:E59" si="7">C50*D50</f>
        <v>2.546212591149092</v>
      </c>
      <c r="H50" s="47">
        <v>0.5</v>
      </c>
      <c r="I50" s="83">
        <f>$C$25</f>
        <v>2.375</v>
      </c>
      <c r="J50" s="78">
        <f>(1+$C$27*($H$53-H50))</f>
        <v>1.07125</v>
      </c>
      <c r="K50" s="79">
        <f t="shared" ref="K50:K59" si="8">I50*J50</f>
        <v>2.5442187500000002</v>
      </c>
    </row>
    <row r="51" spans="2:11" ht="21" x14ac:dyDescent="0.35">
      <c r="B51" s="47">
        <v>1</v>
      </c>
      <c r="C51" s="83">
        <f t="shared" ref="C51:C58" si="9">$C$25</f>
        <v>2.375</v>
      </c>
      <c r="D51" s="80">
        <f t="shared" si="6"/>
        <v>1.0475000000000001</v>
      </c>
      <c r="E51" s="79">
        <f t="shared" si="7"/>
        <v>2.4878125000000004</v>
      </c>
      <c r="H51" s="47">
        <v>1</v>
      </c>
      <c r="I51" s="83">
        <f t="shared" ref="I51:I58" si="10">$C$25</f>
        <v>2.375</v>
      </c>
      <c r="J51" s="78">
        <f>(1+$C$27*($H$53-H51))</f>
        <v>1.0475000000000001</v>
      </c>
      <c r="K51" s="79">
        <f t="shared" si="8"/>
        <v>2.4878125000000004</v>
      </c>
    </row>
    <row r="52" spans="2:11" ht="21" x14ac:dyDescent="0.35">
      <c r="B52" s="47">
        <v>1.5</v>
      </c>
      <c r="C52" s="83">
        <f t="shared" si="9"/>
        <v>2.375</v>
      </c>
      <c r="D52" s="80">
        <f t="shared" si="6"/>
        <v>1.0234744745229361</v>
      </c>
      <c r="E52" s="79">
        <f t="shared" si="7"/>
        <v>2.4307518769919731</v>
      </c>
      <c r="H52" s="47">
        <v>1.5</v>
      </c>
      <c r="I52" s="83">
        <f t="shared" si="10"/>
        <v>2.375</v>
      </c>
      <c r="J52" s="78">
        <f>(1+$C$27*($H$53-H52))</f>
        <v>1.0237499999999999</v>
      </c>
      <c r="K52" s="79">
        <f t="shared" si="8"/>
        <v>2.4314062499999998</v>
      </c>
    </row>
    <row r="53" spans="2:11" ht="21" x14ac:dyDescent="0.35">
      <c r="B53" s="47">
        <v>2</v>
      </c>
      <c r="C53" s="83">
        <f t="shared" si="9"/>
        <v>2.375</v>
      </c>
      <c r="D53" s="80">
        <f t="shared" si="6"/>
        <v>1</v>
      </c>
      <c r="E53" s="79">
        <f t="shared" si="7"/>
        <v>2.375</v>
      </c>
      <c r="H53" s="47">
        <v>2</v>
      </c>
      <c r="I53" s="83">
        <f t="shared" si="10"/>
        <v>2.375</v>
      </c>
      <c r="J53" s="78">
        <f>(1+$C$27*($H$53-H53))</f>
        <v>1</v>
      </c>
      <c r="K53" s="79">
        <f t="shared" si="8"/>
        <v>2.375</v>
      </c>
    </row>
    <row r="54" spans="2:11" ht="21" x14ac:dyDescent="0.35">
      <c r="B54" s="47">
        <v>2.5</v>
      </c>
      <c r="C54" s="83">
        <f t="shared" si="9"/>
        <v>2.375</v>
      </c>
      <c r="D54" s="80">
        <f t="shared" si="6"/>
        <v>0.97706393749206299</v>
      </c>
      <c r="E54" s="79">
        <f t="shared" si="7"/>
        <v>2.3205268515436495</v>
      </c>
      <c r="H54" s="47">
        <v>2.5</v>
      </c>
      <c r="I54" s="83">
        <f t="shared" si="10"/>
        <v>2.375</v>
      </c>
      <c r="J54" s="78">
        <f t="shared" ref="J54:J59" si="11">1/(1+$C$27*(H54-$H$53))</f>
        <v>0.97680097680097688</v>
      </c>
      <c r="K54" s="79">
        <f t="shared" si="8"/>
        <v>2.3199023199023201</v>
      </c>
    </row>
    <row r="55" spans="2:11" ht="21" x14ac:dyDescent="0.35">
      <c r="B55" s="47">
        <v>3</v>
      </c>
      <c r="C55" s="83">
        <f t="shared" si="9"/>
        <v>2.375</v>
      </c>
      <c r="D55" s="80">
        <f t="shared" si="6"/>
        <v>0.95465393794749398</v>
      </c>
      <c r="E55" s="79">
        <f t="shared" si="7"/>
        <v>2.2673031026252981</v>
      </c>
      <c r="H55" s="47">
        <v>3</v>
      </c>
      <c r="I55" s="83">
        <f t="shared" si="10"/>
        <v>2.375</v>
      </c>
      <c r="J55" s="78">
        <f t="shared" si="11"/>
        <v>0.95465393794749398</v>
      </c>
      <c r="K55" s="79">
        <f t="shared" si="8"/>
        <v>2.2673031026252981</v>
      </c>
    </row>
    <row r="56" spans="2:11" ht="21" x14ac:dyDescent="0.35">
      <c r="B56" s="47">
        <v>3.5</v>
      </c>
      <c r="C56" s="83">
        <f t="shared" si="9"/>
        <v>2.375</v>
      </c>
      <c r="D56" s="80">
        <f t="shared" si="6"/>
        <v>0.93275793555328201</v>
      </c>
      <c r="E56" s="79">
        <f t="shared" si="7"/>
        <v>2.2153000969390448</v>
      </c>
      <c r="H56" s="47">
        <v>3.5</v>
      </c>
      <c r="I56" s="83">
        <f t="shared" si="10"/>
        <v>2.375</v>
      </c>
      <c r="J56" s="78">
        <f t="shared" si="11"/>
        <v>0.93348891481913654</v>
      </c>
      <c r="K56" s="79">
        <f t="shared" si="8"/>
        <v>2.2170361726954493</v>
      </c>
    </row>
    <row r="57" spans="2:11" ht="21" x14ac:dyDescent="0.35">
      <c r="B57" s="47">
        <v>4</v>
      </c>
      <c r="C57" s="83">
        <f t="shared" si="9"/>
        <v>2.375</v>
      </c>
      <c r="D57" s="80">
        <f t="shared" si="6"/>
        <v>0.91136414123865761</v>
      </c>
      <c r="E57" s="79">
        <f t="shared" si="7"/>
        <v>2.1644898354418118</v>
      </c>
      <c r="H57" s="47">
        <v>4</v>
      </c>
      <c r="I57" s="83">
        <f t="shared" si="10"/>
        <v>2.375</v>
      </c>
      <c r="J57" s="78">
        <f t="shared" si="11"/>
        <v>0.91324200913242015</v>
      </c>
      <c r="K57" s="79">
        <f t="shared" si="8"/>
        <v>2.1689497716894977</v>
      </c>
    </row>
    <row r="58" spans="2:11" ht="21" x14ac:dyDescent="0.35">
      <c r="B58" s="47">
        <v>4.5</v>
      </c>
      <c r="C58" s="83">
        <f t="shared" si="9"/>
        <v>2.375</v>
      </c>
      <c r="D58" s="80">
        <f t="shared" si="6"/>
        <v>0.89046103632771545</v>
      </c>
      <c r="E58" s="79">
        <f t="shared" si="7"/>
        <v>2.1148449612783242</v>
      </c>
      <c r="H58" s="47">
        <v>4.5</v>
      </c>
      <c r="I58" s="83">
        <f t="shared" si="10"/>
        <v>2.375</v>
      </c>
      <c r="J58" s="78">
        <f t="shared" si="11"/>
        <v>0.89385474860335201</v>
      </c>
      <c r="K58" s="79">
        <f t="shared" si="8"/>
        <v>2.1229050279329611</v>
      </c>
    </row>
    <row r="59" spans="2:11" ht="21" x14ac:dyDescent="0.35">
      <c r="B59" s="47">
        <v>5</v>
      </c>
      <c r="C59" s="83">
        <f>$C$25+$C$26</f>
        <v>102.375</v>
      </c>
      <c r="D59" s="80">
        <f t="shared" si="6"/>
        <v>0.87003736633762052</v>
      </c>
      <c r="E59" s="79">
        <f t="shared" si="7"/>
        <v>89.070075378813897</v>
      </c>
      <c r="H59" s="47">
        <v>5</v>
      </c>
      <c r="I59" s="83">
        <f>$C$25+$C$26</f>
        <v>102.375</v>
      </c>
      <c r="J59" s="78">
        <f t="shared" si="11"/>
        <v>0.87527352297592997</v>
      </c>
      <c r="K59" s="79">
        <f t="shared" si="8"/>
        <v>89.606126914660834</v>
      </c>
    </row>
    <row r="60" spans="2:11" ht="21" x14ac:dyDescent="0.35">
      <c r="B60" s="47"/>
      <c r="C60" s="85"/>
      <c r="D60" s="80" t="s">
        <v>105</v>
      </c>
      <c r="E60" s="79">
        <f>SUM(E49:E59)</f>
        <v>0</v>
      </c>
      <c r="H60" s="47"/>
      <c r="I60" s="85"/>
      <c r="J60" s="80" t="s">
        <v>105</v>
      </c>
      <c r="K60" s="79">
        <f>SUM(K49:K59)</f>
        <v>-1.0301257388043297</v>
      </c>
    </row>
    <row r="61" spans="2:11" x14ac:dyDescent="0.2">
      <c r="H61" s="21"/>
      <c r="J61" s="21"/>
    </row>
    <row r="62" spans="2:11" x14ac:dyDescent="0.2">
      <c r="H62" s="21"/>
      <c r="J62" s="21"/>
    </row>
    <row r="63" spans="2:11" x14ac:dyDescent="0.2">
      <c r="H63" s="21"/>
      <c r="J63" s="21"/>
    </row>
    <row r="64" spans="2:11" ht="21" x14ac:dyDescent="0.35">
      <c r="B64" s="172" t="s">
        <v>22</v>
      </c>
      <c r="C64" s="172"/>
      <c r="D64" s="172"/>
      <c r="E64" s="172"/>
      <c r="H64" s="172" t="s">
        <v>69</v>
      </c>
      <c r="I64" s="172"/>
      <c r="J64" s="172"/>
      <c r="K64" s="172"/>
    </row>
    <row r="65" spans="2:11" ht="21" x14ac:dyDescent="0.35">
      <c r="B65" s="48" t="s">
        <v>76</v>
      </c>
      <c r="C65" s="49" t="s">
        <v>77</v>
      </c>
      <c r="D65" s="50" t="s">
        <v>106</v>
      </c>
      <c r="E65" s="51" t="s">
        <v>107</v>
      </c>
      <c r="H65" s="48" t="s">
        <v>76</v>
      </c>
      <c r="I65" s="49" t="s">
        <v>77</v>
      </c>
      <c r="J65" s="50" t="s">
        <v>106</v>
      </c>
      <c r="K65" s="51" t="s">
        <v>107</v>
      </c>
    </row>
    <row r="66" spans="2:11" ht="21" x14ac:dyDescent="0.35">
      <c r="B66" s="47">
        <v>0</v>
      </c>
      <c r="C66" s="84">
        <f>-$E$33</f>
        <v>-100.24305370307353</v>
      </c>
      <c r="D66" s="78">
        <f t="shared" ref="D66:D76" si="12">(1+$C$27)^($B$76-B66)</f>
        <v>1.2611599138768561</v>
      </c>
      <c r="E66" s="79">
        <f>C66*D66</f>
        <v>-126.42252097492127</v>
      </c>
      <c r="H66" s="47">
        <v>0</v>
      </c>
      <c r="I66" s="84">
        <f>-$K$33</f>
        <v>-101.89112926786363</v>
      </c>
      <c r="J66" s="78">
        <f t="shared" ref="J66:J76" si="13">(1+$C$27*($B$76-H66))</f>
        <v>1.2375</v>
      </c>
      <c r="K66" s="79">
        <f>I66*J66</f>
        <v>-126.09027246898125</v>
      </c>
    </row>
    <row r="67" spans="2:11" ht="21" x14ac:dyDescent="0.35">
      <c r="B67" s="47">
        <v>0.5</v>
      </c>
      <c r="C67" s="84">
        <f>$C$25</f>
        <v>2.375</v>
      </c>
      <c r="D67" s="78">
        <f t="shared" si="12"/>
        <v>1.2322338712596721</v>
      </c>
      <c r="E67" s="79">
        <f t="shared" ref="E67:E76" si="14">C67*D67</f>
        <v>2.9265554442417212</v>
      </c>
      <c r="H67" s="47">
        <v>0.5</v>
      </c>
      <c r="I67" s="84">
        <f>$C$25</f>
        <v>2.375</v>
      </c>
      <c r="J67" s="78">
        <f t="shared" si="13"/>
        <v>1.2137500000000001</v>
      </c>
      <c r="K67" s="79">
        <f t="shared" ref="K67:K76" si="15">I67*J67</f>
        <v>2.8826562500000001</v>
      </c>
    </row>
    <row r="68" spans="2:11" ht="21" x14ac:dyDescent="0.35">
      <c r="B68" s="47">
        <v>1</v>
      </c>
      <c r="C68" s="84">
        <f t="shared" ref="C68:C75" si="16">$C$25</f>
        <v>2.375</v>
      </c>
      <c r="D68" s="78">
        <f t="shared" si="12"/>
        <v>1.203971278164063</v>
      </c>
      <c r="E68" s="79">
        <f t="shared" si="14"/>
        <v>2.8594317856396496</v>
      </c>
      <c r="H68" s="47">
        <v>1</v>
      </c>
      <c r="I68" s="84">
        <f t="shared" ref="I68:I75" si="17">$C$25</f>
        <v>2.375</v>
      </c>
      <c r="J68" s="78">
        <f t="shared" si="13"/>
        <v>1.19</v>
      </c>
      <c r="K68" s="79">
        <f t="shared" si="15"/>
        <v>2.8262499999999999</v>
      </c>
    </row>
    <row r="69" spans="2:11" ht="21" x14ac:dyDescent="0.35">
      <c r="B69" s="47">
        <v>1.5</v>
      </c>
      <c r="C69" s="84">
        <f t="shared" si="16"/>
        <v>2.375</v>
      </c>
      <c r="D69" s="78">
        <f t="shared" si="12"/>
        <v>1.1763569176703312</v>
      </c>
      <c r="E69" s="79">
        <f t="shared" si="14"/>
        <v>2.7938476794670368</v>
      </c>
      <c r="H69" s="47">
        <v>1.5</v>
      </c>
      <c r="I69" s="84">
        <f t="shared" si="17"/>
        <v>2.375</v>
      </c>
      <c r="J69" s="78">
        <f t="shared" si="13"/>
        <v>1.16625</v>
      </c>
      <c r="K69" s="79">
        <f t="shared" si="15"/>
        <v>2.7698437500000002</v>
      </c>
    </row>
    <row r="70" spans="2:11" ht="21" x14ac:dyDescent="0.35">
      <c r="B70" s="47">
        <v>2</v>
      </c>
      <c r="C70" s="84">
        <f t="shared" si="16"/>
        <v>2.375</v>
      </c>
      <c r="D70" s="78">
        <f t="shared" si="12"/>
        <v>1.1493759218750004</v>
      </c>
      <c r="E70" s="79">
        <f t="shared" si="14"/>
        <v>2.7297678144531261</v>
      </c>
      <c r="H70" s="47">
        <v>2</v>
      </c>
      <c r="I70" s="84">
        <f t="shared" si="17"/>
        <v>2.375</v>
      </c>
      <c r="J70" s="78">
        <f t="shared" si="13"/>
        <v>1.1425000000000001</v>
      </c>
      <c r="K70" s="79">
        <f t="shared" si="15"/>
        <v>2.7134375000000004</v>
      </c>
    </row>
    <row r="71" spans="2:11" ht="21" x14ac:dyDescent="0.35">
      <c r="B71" s="47">
        <v>2.5</v>
      </c>
      <c r="C71" s="84">
        <f t="shared" si="16"/>
        <v>2.375</v>
      </c>
      <c r="D71" s="78">
        <f t="shared" si="12"/>
        <v>1.1230137638857576</v>
      </c>
      <c r="E71" s="79">
        <f t="shared" si="14"/>
        <v>2.6671576892286741</v>
      </c>
      <c r="H71" s="47">
        <v>2.5</v>
      </c>
      <c r="I71" s="84">
        <f t="shared" si="17"/>
        <v>2.375</v>
      </c>
      <c r="J71" s="78">
        <f t="shared" si="13"/>
        <v>1.1187499999999999</v>
      </c>
      <c r="K71" s="79">
        <f t="shared" si="15"/>
        <v>2.6570312499999997</v>
      </c>
    </row>
    <row r="72" spans="2:11" ht="21" x14ac:dyDescent="0.35">
      <c r="B72" s="47">
        <v>3</v>
      </c>
      <c r="C72" s="84">
        <f t="shared" si="16"/>
        <v>2.375</v>
      </c>
      <c r="D72" s="78">
        <f t="shared" si="12"/>
        <v>1.0972562500000003</v>
      </c>
      <c r="E72" s="79">
        <f t="shared" si="14"/>
        <v>2.6059835937500004</v>
      </c>
      <c r="H72" s="47">
        <v>3</v>
      </c>
      <c r="I72" s="84">
        <f t="shared" si="17"/>
        <v>2.375</v>
      </c>
      <c r="J72" s="78">
        <f t="shared" si="13"/>
        <v>1.095</v>
      </c>
      <c r="K72" s="79">
        <f t="shared" si="15"/>
        <v>2.600625</v>
      </c>
    </row>
    <row r="73" spans="2:11" ht="21" x14ac:dyDescent="0.35">
      <c r="B73" s="47">
        <v>3.5</v>
      </c>
      <c r="C73" s="84">
        <f t="shared" si="16"/>
        <v>2.375</v>
      </c>
      <c r="D73" s="78">
        <f t="shared" si="12"/>
        <v>1.0720895120627756</v>
      </c>
      <c r="E73" s="79">
        <f t="shared" si="14"/>
        <v>2.546212591149092</v>
      </c>
      <c r="H73" s="47">
        <v>3.5</v>
      </c>
      <c r="I73" s="84">
        <f t="shared" si="17"/>
        <v>2.375</v>
      </c>
      <c r="J73" s="78">
        <f t="shared" si="13"/>
        <v>1.07125</v>
      </c>
      <c r="K73" s="79">
        <f t="shared" si="15"/>
        <v>2.5442187500000002</v>
      </c>
    </row>
    <row r="74" spans="2:11" ht="21" x14ac:dyDescent="0.35">
      <c r="B74" s="47">
        <v>4</v>
      </c>
      <c r="C74" s="84">
        <f t="shared" si="16"/>
        <v>2.375</v>
      </c>
      <c r="D74" s="78">
        <f t="shared" si="12"/>
        <v>1.0475000000000001</v>
      </c>
      <c r="E74" s="79">
        <f t="shared" si="14"/>
        <v>2.4878125000000004</v>
      </c>
      <c r="H74" s="47">
        <v>4</v>
      </c>
      <c r="I74" s="84">
        <f t="shared" si="17"/>
        <v>2.375</v>
      </c>
      <c r="J74" s="78">
        <f t="shared" si="13"/>
        <v>1.0475000000000001</v>
      </c>
      <c r="K74" s="79">
        <f t="shared" si="15"/>
        <v>2.4878125000000004</v>
      </c>
    </row>
    <row r="75" spans="2:11" ht="21" x14ac:dyDescent="0.35">
      <c r="B75" s="47">
        <v>4.5</v>
      </c>
      <c r="C75" s="84">
        <f t="shared" si="16"/>
        <v>2.375</v>
      </c>
      <c r="D75" s="78">
        <f t="shared" si="12"/>
        <v>1.0234744745229361</v>
      </c>
      <c r="E75" s="79">
        <f t="shared" si="14"/>
        <v>2.4307518769919731</v>
      </c>
      <c r="H75" s="47">
        <v>4.5</v>
      </c>
      <c r="I75" s="84">
        <f t="shared" si="17"/>
        <v>2.375</v>
      </c>
      <c r="J75" s="78">
        <f t="shared" si="13"/>
        <v>1.0237499999999999</v>
      </c>
      <c r="K75" s="79">
        <f t="shared" si="15"/>
        <v>2.4314062499999998</v>
      </c>
    </row>
    <row r="76" spans="2:11" ht="21" x14ac:dyDescent="0.35">
      <c r="B76" s="47">
        <v>5</v>
      </c>
      <c r="C76" s="84">
        <f>$C$25+$C$26</f>
        <v>102.375</v>
      </c>
      <c r="D76" s="78">
        <f t="shared" si="12"/>
        <v>1</v>
      </c>
      <c r="E76" s="79">
        <f t="shared" si="14"/>
        <v>102.375</v>
      </c>
      <c r="H76" s="47">
        <v>5</v>
      </c>
      <c r="I76" s="84">
        <f>$C$25+$C$26</f>
        <v>102.375</v>
      </c>
      <c r="J76" s="78">
        <f t="shared" si="13"/>
        <v>1</v>
      </c>
      <c r="K76" s="79">
        <f t="shared" si="15"/>
        <v>102.375</v>
      </c>
    </row>
    <row r="77" spans="2:11" ht="21" x14ac:dyDescent="0.35">
      <c r="B77" s="47"/>
      <c r="C77" s="85"/>
      <c r="D77" s="80" t="s">
        <v>108</v>
      </c>
      <c r="E77" s="79">
        <f>SUM(E66:E76)</f>
        <v>0</v>
      </c>
      <c r="H77" s="47"/>
      <c r="I77" s="85"/>
      <c r="J77" s="80" t="s">
        <v>108</v>
      </c>
      <c r="K77" s="81">
        <f>SUM(K66:K76)</f>
        <v>0.19800878101874275</v>
      </c>
    </row>
  </sheetData>
  <mergeCells count="6">
    <mergeCell ref="B31:E31"/>
    <mergeCell ref="H31:K31"/>
    <mergeCell ref="B47:E47"/>
    <mergeCell ref="B64:E64"/>
    <mergeCell ref="H47:K47"/>
    <mergeCell ref="H64:K64"/>
  </mergeCells>
  <pageMargins left="0.7" right="0.7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zoomScale="80" zoomScaleNormal="80" workbookViewId="0">
      <selection activeCell="C30" sqref="C30:M31"/>
    </sheetView>
  </sheetViews>
  <sheetFormatPr defaultColWidth="9.140625" defaultRowHeight="21" x14ac:dyDescent="0.35"/>
  <cols>
    <col min="1" max="2" width="9.140625" style="31"/>
    <col min="3" max="3" width="19.7109375" style="31" bestFit="1" customWidth="1"/>
    <col min="4" max="4" width="14" style="31" bestFit="1" customWidth="1"/>
    <col min="5" max="5" width="16.7109375" style="31" bestFit="1" customWidth="1"/>
    <col min="6" max="6" width="9.140625" style="31"/>
    <col min="7" max="7" width="12.28515625" style="31" bestFit="1" customWidth="1"/>
    <col min="8" max="8" width="14" style="31" bestFit="1" customWidth="1"/>
    <col min="9" max="9" width="16.7109375" style="31" bestFit="1" customWidth="1"/>
    <col min="10" max="10" width="9.140625" style="31"/>
    <col min="11" max="11" width="12.28515625" style="31" bestFit="1" customWidth="1"/>
    <col min="12" max="12" width="14" style="31" bestFit="1" customWidth="1"/>
    <col min="13" max="13" width="18.85546875" style="31" bestFit="1" customWidth="1"/>
    <col min="14" max="16384" width="9.140625" style="31"/>
  </cols>
  <sheetData>
    <row r="2" spans="2:16" ht="15" customHeight="1" x14ac:dyDescent="0.35">
      <c r="B2" s="149" t="s">
        <v>177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2:16" ht="15" customHeight="1" x14ac:dyDescent="0.3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ht="15" customHeight="1" x14ac:dyDescent="0.3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2:16" ht="15" customHeight="1" x14ac:dyDescent="0.3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2:16" ht="15" customHeight="1" x14ac:dyDescent="0.3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16" ht="15" customHeight="1" x14ac:dyDescent="0.3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2:16" ht="15" customHeight="1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2:16" ht="15" customHeight="1" x14ac:dyDescent="0.3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2:16" ht="15" customHeight="1" x14ac:dyDescent="0.3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2:16" ht="15" customHeight="1" x14ac:dyDescent="0.35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2:16" ht="15" customHeight="1" x14ac:dyDescent="0.3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2:16" x14ac:dyDescent="0.3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2:16" x14ac:dyDescent="0.3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</row>
    <row r="15" spans="2:16" x14ac:dyDescent="0.35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2:16" x14ac:dyDescent="0.3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2:16" x14ac:dyDescent="0.35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9" spans="2:16" x14ac:dyDescent="0.35">
      <c r="C19" s="37" t="s">
        <v>75</v>
      </c>
      <c r="D19" s="129">
        <v>6.5000000000000002E-2</v>
      </c>
      <c r="E19" s="130"/>
    </row>
    <row r="20" spans="2:16" x14ac:dyDescent="0.35">
      <c r="C20" s="37" t="s">
        <v>178</v>
      </c>
      <c r="D20" s="131">
        <v>0.05</v>
      </c>
      <c r="E20" s="132"/>
    </row>
    <row r="21" spans="2:16" x14ac:dyDescent="0.35">
      <c r="C21" s="37" t="s">
        <v>179</v>
      </c>
      <c r="D21" s="131">
        <v>0.06</v>
      </c>
      <c r="E21" s="132"/>
    </row>
    <row r="22" spans="2:16" x14ac:dyDescent="0.35">
      <c r="C22" s="37" t="s">
        <v>180</v>
      </c>
      <c r="D22" s="131">
        <v>7.0000000000000007E-2</v>
      </c>
      <c r="E22" s="132"/>
    </row>
    <row r="23" spans="2:16" x14ac:dyDescent="0.35">
      <c r="C23" s="37" t="s">
        <v>181</v>
      </c>
      <c r="D23" s="125">
        <v>100</v>
      </c>
      <c r="E23" s="133"/>
    </row>
    <row r="24" spans="2:16" x14ac:dyDescent="0.35">
      <c r="D24" s="132"/>
      <c r="E24" s="132"/>
    </row>
    <row r="25" spans="2:16" x14ac:dyDescent="0.35">
      <c r="D25" s="132"/>
      <c r="E25" s="132"/>
    </row>
    <row r="26" spans="2:16" x14ac:dyDescent="0.35">
      <c r="C26" s="68" t="s">
        <v>182</v>
      </c>
      <c r="D26" s="68" t="s">
        <v>183</v>
      </c>
      <c r="E26" s="68" t="s">
        <v>184</v>
      </c>
      <c r="G26" s="68" t="s">
        <v>182</v>
      </c>
      <c r="H26" s="68" t="s">
        <v>183</v>
      </c>
      <c r="I26" s="68" t="s">
        <v>184</v>
      </c>
      <c r="K26" s="68" t="s">
        <v>182</v>
      </c>
      <c r="L26" s="68" t="s">
        <v>183</v>
      </c>
      <c r="M26" s="68" t="s">
        <v>184</v>
      </c>
    </row>
    <row r="27" spans="2:16" x14ac:dyDescent="0.35">
      <c r="C27" s="68">
        <v>0</v>
      </c>
      <c r="D27" s="134">
        <f>-SUM(E28:E33)</f>
        <v>-96.239087783771893</v>
      </c>
      <c r="E27" s="68"/>
      <c r="G27" s="68">
        <v>0</v>
      </c>
      <c r="H27" s="134">
        <f>-SUM(I28:I41)</f>
        <v>-97.784062690668776</v>
      </c>
      <c r="I27" s="68"/>
      <c r="K27" s="68">
        <v>0</v>
      </c>
      <c r="L27" s="36">
        <f>-SUM(M28:M47)</f>
        <v>-104.39927152600974</v>
      </c>
      <c r="M27" s="68"/>
    </row>
    <row r="28" spans="2:16" x14ac:dyDescent="0.35">
      <c r="C28" s="68">
        <v>0.5</v>
      </c>
      <c r="D28" s="127">
        <f>$D$23*$D$20/2</f>
        <v>2.5</v>
      </c>
      <c r="E28" s="127">
        <f>D28*(1+$D$19)^(-C28)</f>
        <v>2.4225079155575462</v>
      </c>
      <c r="G28" s="68">
        <v>0.5</v>
      </c>
      <c r="H28" s="127">
        <f>$D$23*$D$21/2</f>
        <v>3</v>
      </c>
      <c r="I28" s="127">
        <f>H28*(1+$D$19)^(-G28)</f>
        <v>2.9070094986690553</v>
      </c>
      <c r="K28" s="68">
        <v>0.5</v>
      </c>
      <c r="L28" s="127">
        <f>$D$23*$D$22/2</f>
        <v>3.5000000000000004</v>
      </c>
      <c r="M28" s="91">
        <f>L28*(1+$D$19)^(-K28)</f>
        <v>3.3915110817805649</v>
      </c>
    </row>
    <row r="29" spans="2:16" x14ac:dyDescent="0.35">
      <c r="C29" s="68">
        <v>1</v>
      </c>
      <c r="D29" s="127">
        <f t="shared" ref="D29:D32" si="0">$D$23*$D$20/2</f>
        <v>2.5</v>
      </c>
      <c r="E29" s="127">
        <f t="shared" ref="E29:E33" si="1">D29*(1+$D$19)^(-C29)</f>
        <v>2.347417840375587</v>
      </c>
      <c r="G29" s="68">
        <v>1</v>
      </c>
      <c r="H29" s="127">
        <f t="shared" ref="H29:H40" si="2">$D$23*$D$21/2</f>
        <v>3</v>
      </c>
      <c r="I29" s="127">
        <f t="shared" ref="I29:I41" si="3">H29*(1+$D$19)^(-G29)</f>
        <v>2.816901408450704</v>
      </c>
      <c r="K29" s="68">
        <v>1</v>
      </c>
      <c r="L29" s="127">
        <f t="shared" ref="L29:L46" si="4">$D$23*$D$22/2</f>
        <v>3.5000000000000004</v>
      </c>
      <c r="M29" s="91">
        <f t="shared" ref="M29:M47" si="5">L29*(1+$D$19)^(-K29)</f>
        <v>3.286384976525822</v>
      </c>
    </row>
    <row r="30" spans="2:16" x14ac:dyDescent="0.35">
      <c r="C30" s="68">
        <v>1.5</v>
      </c>
      <c r="D30" s="127">
        <f t="shared" si="0"/>
        <v>2.5</v>
      </c>
      <c r="E30" s="127">
        <f t="shared" si="1"/>
        <v>2.2746553197723438</v>
      </c>
      <c r="G30" s="68">
        <v>1.5</v>
      </c>
      <c r="H30" s="127">
        <f t="shared" si="2"/>
        <v>3</v>
      </c>
      <c r="I30" s="127">
        <f t="shared" si="3"/>
        <v>2.7295863837268128</v>
      </c>
      <c r="K30" s="68">
        <v>1.5</v>
      </c>
      <c r="L30" s="127">
        <f t="shared" si="4"/>
        <v>3.5000000000000004</v>
      </c>
      <c r="M30" s="91">
        <f t="shared" si="5"/>
        <v>3.1845174476812819</v>
      </c>
    </row>
    <row r="31" spans="2:16" x14ac:dyDescent="0.35">
      <c r="C31" s="68">
        <v>2</v>
      </c>
      <c r="D31" s="127">
        <f t="shared" si="0"/>
        <v>2.5</v>
      </c>
      <c r="E31" s="127">
        <f t="shared" si="1"/>
        <v>2.2041482069254341</v>
      </c>
      <c r="G31" s="68">
        <v>2</v>
      </c>
      <c r="H31" s="127">
        <f t="shared" si="2"/>
        <v>3</v>
      </c>
      <c r="I31" s="127">
        <f t="shared" si="3"/>
        <v>2.6449778483105209</v>
      </c>
      <c r="K31" s="68">
        <v>2</v>
      </c>
      <c r="L31" s="127">
        <f t="shared" si="4"/>
        <v>3.5000000000000004</v>
      </c>
      <c r="M31" s="91">
        <f t="shared" si="5"/>
        <v>3.085807489695608</v>
      </c>
    </row>
    <row r="32" spans="2:16" x14ac:dyDescent="0.35">
      <c r="C32" s="68">
        <v>2.5</v>
      </c>
      <c r="D32" s="127">
        <f t="shared" si="0"/>
        <v>2.5</v>
      </c>
      <c r="E32" s="127">
        <f t="shared" si="1"/>
        <v>2.1358265913355341</v>
      </c>
      <c r="G32" s="68">
        <v>2.5</v>
      </c>
      <c r="H32" s="127">
        <f t="shared" si="2"/>
        <v>3</v>
      </c>
      <c r="I32" s="127">
        <f t="shared" si="3"/>
        <v>2.562991909602641</v>
      </c>
      <c r="K32" s="68">
        <v>2.5</v>
      </c>
      <c r="L32" s="127">
        <f t="shared" si="4"/>
        <v>3.5000000000000004</v>
      </c>
      <c r="M32" s="91">
        <f t="shared" si="5"/>
        <v>2.9901572278697484</v>
      </c>
    </row>
    <row r="33" spans="3:13" x14ac:dyDescent="0.35">
      <c r="C33" s="68">
        <v>3</v>
      </c>
      <c r="D33" s="127">
        <f>D23+$D$23*$D$20/2</f>
        <v>102.5</v>
      </c>
      <c r="E33" s="127">
        <f t="shared" si="1"/>
        <v>84.854531909805445</v>
      </c>
      <c r="G33" s="68">
        <v>3</v>
      </c>
      <c r="H33" s="127">
        <f t="shared" si="2"/>
        <v>3</v>
      </c>
      <c r="I33" s="127">
        <f t="shared" si="3"/>
        <v>2.4835472754089398</v>
      </c>
      <c r="K33" s="68">
        <v>3</v>
      </c>
      <c r="L33" s="127">
        <f t="shared" si="4"/>
        <v>3.5000000000000004</v>
      </c>
      <c r="M33" s="91">
        <f t="shared" si="5"/>
        <v>2.8974718213104302</v>
      </c>
    </row>
    <row r="34" spans="3:13" x14ac:dyDescent="0.35">
      <c r="G34" s="68">
        <v>3.5</v>
      </c>
      <c r="H34" s="127">
        <f t="shared" si="2"/>
        <v>3</v>
      </c>
      <c r="I34" s="127">
        <f t="shared" si="3"/>
        <v>2.4065651733358133</v>
      </c>
      <c r="K34" s="68">
        <v>3.5</v>
      </c>
      <c r="L34" s="127">
        <f t="shared" si="4"/>
        <v>3.5000000000000004</v>
      </c>
      <c r="M34" s="91">
        <f t="shared" si="5"/>
        <v>2.8076593688917826</v>
      </c>
    </row>
    <row r="35" spans="3:13" x14ac:dyDescent="0.35">
      <c r="G35" s="68">
        <v>4</v>
      </c>
      <c r="H35" s="127">
        <f t="shared" si="2"/>
        <v>3</v>
      </c>
      <c r="I35" s="127">
        <f t="shared" si="3"/>
        <v>2.331969272684451</v>
      </c>
      <c r="K35" s="68">
        <v>4</v>
      </c>
      <c r="L35" s="127">
        <f t="shared" si="4"/>
        <v>3.5000000000000004</v>
      </c>
      <c r="M35" s="91">
        <f t="shared" si="5"/>
        <v>2.7206308181318599</v>
      </c>
    </row>
    <row r="36" spans="3:13" x14ac:dyDescent="0.35">
      <c r="G36" s="68">
        <v>4.5</v>
      </c>
      <c r="H36" s="127">
        <f t="shared" si="2"/>
        <v>3</v>
      </c>
      <c r="I36" s="127">
        <f t="shared" si="3"/>
        <v>2.2596856087660222</v>
      </c>
      <c r="K36" s="68">
        <v>4.5</v>
      </c>
      <c r="L36" s="127">
        <f t="shared" si="4"/>
        <v>3.5000000000000004</v>
      </c>
      <c r="M36" s="91">
        <f t="shared" si="5"/>
        <v>2.6362998768936929</v>
      </c>
    </row>
    <row r="37" spans="3:13" x14ac:dyDescent="0.35">
      <c r="G37" s="68">
        <v>5</v>
      </c>
      <c r="H37" s="127">
        <f t="shared" si="2"/>
        <v>3</v>
      </c>
      <c r="I37" s="127">
        <f t="shared" si="3"/>
        <v>2.1896425095628649</v>
      </c>
      <c r="K37" s="68">
        <v>5</v>
      </c>
      <c r="L37" s="127">
        <f t="shared" si="4"/>
        <v>3.5000000000000004</v>
      </c>
      <c r="M37" s="91">
        <f t="shared" si="5"/>
        <v>2.5545829278233425</v>
      </c>
    </row>
    <row r="38" spans="3:13" x14ac:dyDescent="0.35">
      <c r="G38" s="68">
        <v>5.5</v>
      </c>
      <c r="H38" s="127">
        <f t="shared" si="2"/>
        <v>3</v>
      </c>
      <c r="I38" s="127">
        <f t="shared" si="3"/>
        <v>2.1217705246629315</v>
      </c>
      <c r="K38" s="68">
        <v>5.5</v>
      </c>
      <c r="L38" s="127">
        <f t="shared" si="4"/>
        <v>3.5000000000000004</v>
      </c>
      <c r="M38" s="91">
        <f t="shared" si="5"/>
        <v>2.4753989454400873</v>
      </c>
    </row>
    <row r="39" spans="3:13" x14ac:dyDescent="0.35">
      <c r="G39" s="68">
        <v>6</v>
      </c>
      <c r="H39" s="127">
        <f t="shared" si="2"/>
        <v>3</v>
      </c>
      <c r="I39" s="127">
        <f t="shared" si="3"/>
        <v>2.0560023563970562</v>
      </c>
      <c r="K39" s="68">
        <v>6</v>
      </c>
      <c r="L39" s="127">
        <f t="shared" si="4"/>
        <v>3.5000000000000004</v>
      </c>
      <c r="M39" s="91">
        <f t="shared" si="5"/>
        <v>2.398669415796566</v>
      </c>
    </row>
    <row r="40" spans="3:13" x14ac:dyDescent="0.35">
      <c r="G40" s="68">
        <v>6.5</v>
      </c>
      <c r="H40" s="127">
        <f t="shared" si="2"/>
        <v>3</v>
      </c>
      <c r="I40" s="127">
        <f t="shared" si="3"/>
        <v>1.9922727931107338</v>
      </c>
      <c r="K40" s="68">
        <v>6.5</v>
      </c>
      <c r="L40" s="127">
        <f t="shared" si="4"/>
        <v>3.5000000000000004</v>
      </c>
      <c r="M40" s="91">
        <f t="shared" si="5"/>
        <v>2.3243182586291899</v>
      </c>
    </row>
    <row r="41" spans="3:13" x14ac:dyDescent="0.35">
      <c r="G41" s="68">
        <v>7</v>
      </c>
      <c r="H41" s="127">
        <f>D23+$D$23*$D$21/2</f>
        <v>103</v>
      </c>
      <c r="I41" s="127">
        <f t="shared" si="3"/>
        <v>66.281140127980223</v>
      </c>
      <c r="K41" s="68">
        <v>7</v>
      </c>
      <c r="L41" s="127">
        <f t="shared" si="4"/>
        <v>3.5000000000000004</v>
      </c>
      <c r="M41" s="91">
        <f t="shared" si="5"/>
        <v>2.2522717519216582</v>
      </c>
    </row>
    <row r="42" spans="3:13" x14ac:dyDescent="0.35">
      <c r="K42" s="68">
        <v>7.5</v>
      </c>
      <c r="L42" s="127">
        <f t="shared" si="4"/>
        <v>3.5000000000000004</v>
      </c>
      <c r="M42" s="91">
        <f t="shared" si="5"/>
        <v>2.1824584588067513</v>
      </c>
    </row>
    <row r="43" spans="3:13" x14ac:dyDescent="0.35">
      <c r="K43" s="68">
        <v>8</v>
      </c>
      <c r="L43" s="127">
        <f t="shared" si="4"/>
        <v>3.5000000000000004</v>
      </c>
      <c r="M43" s="91">
        <f t="shared" si="5"/>
        <v>2.1148091567339518</v>
      </c>
    </row>
    <row r="44" spans="3:13" x14ac:dyDescent="0.35">
      <c r="K44" s="68">
        <v>8.5</v>
      </c>
      <c r="L44" s="127">
        <f t="shared" si="4"/>
        <v>3.5000000000000004</v>
      </c>
      <c r="M44" s="91">
        <f t="shared" si="5"/>
        <v>2.0492567688326306</v>
      </c>
    </row>
    <row r="45" spans="3:13" x14ac:dyDescent="0.35">
      <c r="K45" s="68">
        <v>9</v>
      </c>
      <c r="L45" s="127">
        <f t="shared" si="4"/>
        <v>3.5000000000000004</v>
      </c>
      <c r="M45" s="91">
        <f t="shared" si="5"/>
        <v>1.9857362974027717</v>
      </c>
    </row>
    <row r="46" spans="3:13" x14ac:dyDescent="0.35">
      <c r="K46" s="68">
        <v>9.5</v>
      </c>
      <c r="L46" s="127">
        <f t="shared" si="4"/>
        <v>3.5000000000000004</v>
      </c>
      <c r="M46" s="91">
        <f t="shared" si="5"/>
        <v>1.9241847594672585</v>
      </c>
    </row>
    <row r="47" spans="3:13" x14ac:dyDescent="0.35">
      <c r="K47" s="68">
        <v>10</v>
      </c>
      <c r="L47" s="127">
        <f>D23+$D$23*$D$22/2</f>
        <v>103.5</v>
      </c>
      <c r="M47" s="91">
        <f t="shared" si="5"/>
        <v>55.137144676374739</v>
      </c>
    </row>
  </sheetData>
  <mergeCells count="1">
    <mergeCell ref="B2:P17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17"/>
  <sheetViews>
    <sheetView workbookViewId="0">
      <selection activeCell="B17" sqref="B17"/>
    </sheetView>
  </sheetViews>
  <sheetFormatPr defaultColWidth="9.140625" defaultRowHeight="18.75" x14ac:dyDescent="0.3"/>
  <cols>
    <col min="1" max="1" width="4" style="8" customWidth="1"/>
    <col min="2" max="2" width="22.85546875" style="8" bestFit="1" customWidth="1"/>
    <col min="3" max="3" width="13.7109375" style="8" bestFit="1" customWidth="1"/>
    <col min="4" max="4" width="9.140625" style="8"/>
    <col min="5" max="5" width="5.28515625" style="8" bestFit="1" customWidth="1"/>
    <col min="6" max="6" width="57.85546875" style="8" customWidth="1"/>
    <col min="7" max="7" width="11.42578125" style="8" customWidth="1"/>
    <col min="8" max="8" width="14.5703125" style="8" bestFit="1" customWidth="1"/>
    <col min="9" max="9" width="9.7109375" style="8" bestFit="1" customWidth="1"/>
    <col min="10" max="10" width="10.28515625" style="8" bestFit="1" customWidth="1"/>
    <col min="11" max="16384" width="9.140625" style="8"/>
  </cols>
  <sheetData>
    <row r="9" spans="2:4" x14ac:dyDescent="0.3">
      <c r="B9" s="25" t="s">
        <v>11</v>
      </c>
      <c r="C9" s="26"/>
      <c r="D9" s="26"/>
    </row>
    <row r="10" spans="2:4" x14ac:dyDescent="0.3">
      <c r="B10" s="29" t="s">
        <v>31</v>
      </c>
      <c r="C10" s="38">
        <v>350</v>
      </c>
      <c r="D10" s="28"/>
    </row>
    <row r="11" spans="2:4" x14ac:dyDescent="0.3">
      <c r="B11" s="29" t="s">
        <v>17</v>
      </c>
      <c r="C11" s="38">
        <v>600</v>
      </c>
      <c r="D11" s="28"/>
    </row>
    <row r="12" spans="2:4" x14ac:dyDescent="0.3">
      <c r="B12" s="29" t="s">
        <v>34</v>
      </c>
      <c r="C12" s="28">
        <v>1</v>
      </c>
      <c r="D12" s="30" t="s">
        <v>36</v>
      </c>
    </row>
    <row r="13" spans="2:4" x14ac:dyDescent="0.3">
      <c r="B13" s="29" t="s">
        <v>35</v>
      </c>
      <c r="C13" s="28">
        <v>4</v>
      </c>
      <c r="D13" s="30" t="s">
        <v>36</v>
      </c>
    </row>
    <row r="14" spans="2:4" x14ac:dyDescent="0.3">
      <c r="B14" s="29" t="s">
        <v>26</v>
      </c>
      <c r="C14" s="28">
        <f>5.8%</f>
        <v>5.7999999999999996E-2</v>
      </c>
      <c r="D14" s="28"/>
    </row>
    <row r="15" spans="2:4" x14ac:dyDescent="0.3">
      <c r="B15" s="29" t="s">
        <v>38</v>
      </c>
      <c r="C15" s="28">
        <v>7</v>
      </c>
      <c r="D15" s="30" t="s">
        <v>36</v>
      </c>
    </row>
    <row r="17" spans="2:4" x14ac:dyDescent="0.3">
      <c r="B17" s="58" t="s">
        <v>39</v>
      </c>
      <c r="C17" s="65">
        <f>C10*(1+C14)*(C15/6-C12/6)-C11*(1+C14)^(C15/6-C13/6)</f>
        <v>-246.85476178994196</v>
      </c>
      <c r="D17" s="63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14:H34"/>
  <sheetViews>
    <sheetView workbookViewId="0">
      <selection activeCell="B28" sqref="B28"/>
    </sheetView>
  </sheetViews>
  <sheetFormatPr defaultRowHeight="15" x14ac:dyDescent="0.25"/>
  <cols>
    <col min="2" max="2" width="13.5703125" bestFit="1" customWidth="1"/>
    <col min="3" max="3" width="18" bestFit="1" customWidth="1"/>
  </cols>
  <sheetData>
    <row r="14" spans="2:4" ht="18.75" x14ac:dyDescent="0.3">
      <c r="B14" s="25" t="s">
        <v>11</v>
      </c>
      <c r="C14" s="26"/>
      <c r="D14" s="26"/>
    </row>
    <row r="15" spans="2:4" ht="18.75" x14ac:dyDescent="0.3">
      <c r="B15" s="29" t="s">
        <v>14</v>
      </c>
      <c r="C15" s="38">
        <v>10100</v>
      </c>
      <c r="D15" s="28"/>
    </row>
    <row r="16" spans="2:4" ht="18.75" x14ac:dyDescent="0.3">
      <c r="B16" s="29" t="s">
        <v>35</v>
      </c>
      <c r="C16" s="28">
        <f>1+11/12</f>
        <v>1.9166666666666665</v>
      </c>
      <c r="D16" s="28"/>
    </row>
    <row r="17" spans="2:7" ht="18.75" x14ac:dyDescent="0.3">
      <c r="B17" s="29" t="s">
        <v>80</v>
      </c>
      <c r="C17" s="52">
        <f>7.1%</f>
        <v>7.0999999999999994E-2</v>
      </c>
      <c r="D17" s="28"/>
    </row>
    <row r="18" spans="2:7" ht="18.75" x14ac:dyDescent="0.3">
      <c r="B18" s="29" t="s">
        <v>81</v>
      </c>
      <c r="C18" s="52">
        <f>7.2%</f>
        <v>7.2000000000000008E-2</v>
      </c>
      <c r="D18" s="28"/>
    </row>
    <row r="19" spans="2:7" ht="18.75" x14ac:dyDescent="0.3">
      <c r="B19" s="27"/>
      <c r="C19" s="28"/>
      <c r="D19" s="28"/>
    </row>
    <row r="20" spans="2:7" ht="18.75" x14ac:dyDescent="0.3">
      <c r="B20" s="27"/>
      <c r="C20" s="28"/>
      <c r="D20" s="28"/>
    </row>
    <row r="21" spans="2:7" ht="18.75" x14ac:dyDescent="0.3">
      <c r="B21" s="27"/>
      <c r="C21" s="28"/>
      <c r="D21" s="28"/>
    </row>
    <row r="22" spans="2:7" ht="18.75" x14ac:dyDescent="0.3">
      <c r="B22" s="27"/>
      <c r="C22" s="28"/>
      <c r="D22" s="28"/>
    </row>
    <row r="24" spans="2:7" ht="21" x14ac:dyDescent="0.35">
      <c r="B24" s="31"/>
      <c r="C24" s="31"/>
      <c r="D24" s="31"/>
      <c r="E24" s="31"/>
      <c r="F24" s="31"/>
      <c r="G24" s="31"/>
    </row>
    <row r="25" spans="2:7" ht="21" x14ac:dyDescent="0.35">
      <c r="B25" s="72" t="s">
        <v>68</v>
      </c>
      <c r="C25" s="89">
        <f>C15*C17*C16</f>
        <v>1374.4416666666664</v>
      </c>
      <c r="D25" s="68"/>
      <c r="E25" s="31"/>
      <c r="F25" s="31"/>
      <c r="G25" s="31"/>
    </row>
    <row r="26" spans="2:7" ht="21" x14ac:dyDescent="0.35">
      <c r="B26" s="72" t="s">
        <v>82</v>
      </c>
      <c r="C26" s="68">
        <f>(1+C25/C15)^(1/C16)-1</f>
        <v>6.8832531309098721E-2</v>
      </c>
      <c r="D26" s="68"/>
      <c r="E26" s="31"/>
      <c r="F26" s="31"/>
      <c r="G26" s="31"/>
    </row>
    <row r="27" spans="2:7" ht="21" x14ac:dyDescent="0.35">
      <c r="B27" s="31"/>
      <c r="C27" s="31"/>
      <c r="D27" s="31"/>
      <c r="E27" s="31"/>
      <c r="F27" s="31"/>
      <c r="G27" s="31"/>
    </row>
    <row r="28" spans="2:7" ht="21" x14ac:dyDescent="0.35">
      <c r="B28" s="72" t="s">
        <v>40</v>
      </c>
      <c r="C28" s="68">
        <f>LN(1+C25/C15)/LN(1+C18)</f>
        <v>1.8350913248291434</v>
      </c>
      <c r="D28" s="68"/>
      <c r="E28" s="31"/>
      <c r="F28" s="31"/>
      <c r="G28" s="31"/>
    </row>
    <row r="29" spans="2:7" ht="21" x14ac:dyDescent="0.35">
      <c r="B29" s="72" t="s">
        <v>82</v>
      </c>
      <c r="C29" s="90">
        <f>C18</f>
        <v>7.2000000000000008E-2</v>
      </c>
      <c r="D29" s="68"/>
      <c r="E29" s="31"/>
      <c r="F29" s="31"/>
      <c r="G29" s="31"/>
    </row>
    <row r="30" spans="2:7" ht="21" customHeight="1" x14ac:dyDescent="0.25"/>
    <row r="31" spans="2:7" ht="21" customHeight="1" x14ac:dyDescent="0.25"/>
    <row r="32" spans="2:7" ht="21" x14ac:dyDescent="0.35">
      <c r="B32" s="31"/>
      <c r="C32" s="31"/>
      <c r="D32" s="31"/>
      <c r="E32" s="31"/>
      <c r="F32" s="31"/>
      <c r="G32" s="31"/>
    </row>
    <row r="33" spans="2:8" ht="50.25" customHeight="1" x14ac:dyDescent="0.25">
      <c r="B33" s="173" t="s">
        <v>83</v>
      </c>
      <c r="C33" s="174"/>
      <c r="D33" s="174"/>
      <c r="E33" s="174"/>
      <c r="F33" s="174"/>
      <c r="G33" s="174"/>
      <c r="H33" s="174"/>
    </row>
    <row r="34" spans="2:8" x14ac:dyDescent="0.25">
      <c r="B34" s="174"/>
      <c r="C34" s="174"/>
      <c r="D34" s="174"/>
      <c r="E34" s="174"/>
      <c r="F34" s="174"/>
      <c r="G34" s="174"/>
      <c r="H34" s="174"/>
    </row>
  </sheetData>
  <mergeCells count="1">
    <mergeCell ref="B33:H3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32:E61"/>
  <sheetViews>
    <sheetView workbookViewId="0">
      <selection activeCell="C57" activeCellId="3" sqref="C49 C51 C55 C57"/>
    </sheetView>
  </sheetViews>
  <sheetFormatPr defaultRowHeight="15" x14ac:dyDescent="0.25"/>
  <cols>
    <col min="2" max="2" width="27" bestFit="1" customWidth="1"/>
    <col min="3" max="3" width="16.28515625" bestFit="1" customWidth="1"/>
    <col min="4" max="4" width="10.7109375" bestFit="1" customWidth="1"/>
  </cols>
  <sheetData>
    <row r="32" spans="2:4" ht="18.75" x14ac:dyDescent="0.3">
      <c r="B32" s="25" t="s">
        <v>11</v>
      </c>
      <c r="C32" s="26"/>
      <c r="D32" s="26"/>
    </row>
    <row r="33" spans="2:5" ht="18.75" x14ac:dyDescent="0.3">
      <c r="B33" s="29" t="s">
        <v>85</v>
      </c>
      <c r="C33" s="28"/>
      <c r="D33" s="28"/>
    </row>
    <row r="34" spans="2:5" ht="18.75" x14ac:dyDescent="0.3">
      <c r="B34" s="29" t="s">
        <v>34</v>
      </c>
      <c r="C34" s="53">
        <v>41897</v>
      </c>
      <c r="D34" s="28"/>
    </row>
    <row r="35" spans="2:5" ht="18.75" x14ac:dyDescent="0.3">
      <c r="B35" s="29" t="s">
        <v>84</v>
      </c>
      <c r="C35" s="53">
        <v>41988</v>
      </c>
      <c r="D35" s="28"/>
    </row>
    <row r="36" spans="2:5" ht="18.75" x14ac:dyDescent="0.3">
      <c r="B36" s="29" t="s">
        <v>74</v>
      </c>
      <c r="C36" s="28">
        <v>5000</v>
      </c>
      <c r="D36" s="28"/>
    </row>
    <row r="37" spans="2:5" ht="18.75" x14ac:dyDescent="0.3">
      <c r="B37" s="29" t="s">
        <v>86</v>
      </c>
      <c r="C37" s="28">
        <v>4880</v>
      </c>
      <c r="D37" s="28"/>
    </row>
    <row r="38" spans="2:5" ht="18.75" x14ac:dyDescent="0.3">
      <c r="B38" s="29" t="s">
        <v>87</v>
      </c>
      <c r="C38" s="28">
        <f>12.5%</f>
        <v>0.125</v>
      </c>
      <c r="D38" s="28"/>
    </row>
    <row r="39" spans="2:5" ht="18.75" x14ac:dyDescent="0.3">
      <c r="B39" s="29" t="s">
        <v>16</v>
      </c>
      <c r="C39" s="28">
        <v>365</v>
      </c>
      <c r="D39" s="28"/>
    </row>
    <row r="40" spans="2:5" ht="18.75" x14ac:dyDescent="0.3">
      <c r="B40" s="27"/>
      <c r="C40" s="28"/>
      <c r="D40" s="28"/>
    </row>
    <row r="41" spans="2:5" ht="18.75" x14ac:dyDescent="0.3">
      <c r="B41" s="27"/>
      <c r="C41" s="28"/>
      <c r="D41" s="28"/>
    </row>
    <row r="43" spans="2:5" ht="21" x14ac:dyDescent="0.35">
      <c r="B43" s="72" t="s">
        <v>94</v>
      </c>
      <c r="C43" s="91">
        <f>C37+C38*(C36-C37)</f>
        <v>4895</v>
      </c>
      <c r="D43" s="68"/>
    </row>
    <row r="44" spans="2:5" ht="21" x14ac:dyDescent="0.35">
      <c r="B44" s="72" t="s">
        <v>66</v>
      </c>
      <c r="C44" s="91">
        <f>C36-C43</f>
        <v>105</v>
      </c>
      <c r="D44" s="68"/>
    </row>
    <row r="45" spans="2:5" ht="21" x14ac:dyDescent="0.35">
      <c r="B45" s="72" t="s">
        <v>95</v>
      </c>
      <c r="C45" s="91">
        <f>C36-C37</f>
        <v>120</v>
      </c>
      <c r="D45" s="68"/>
    </row>
    <row r="46" spans="2:5" ht="21" x14ac:dyDescent="0.35">
      <c r="B46" s="31"/>
      <c r="C46" s="31"/>
      <c r="D46" s="31"/>
    </row>
    <row r="47" spans="2:5" ht="21" x14ac:dyDescent="0.35">
      <c r="B47" s="31"/>
      <c r="C47" s="31"/>
      <c r="D47" s="31"/>
    </row>
    <row r="48" spans="2:5" ht="21" x14ac:dyDescent="0.35">
      <c r="B48" s="72" t="s">
        <v>88</v>
      </c>
      <c r="C48" s="92">
        <f>C45/C37</f>
        <v>2.4590163934426229E-2</v>
      </c>
      <c r="D48" s="68"/>
      <c r="E48" s="31"/>
    </row>
    <row r="49" spans="2:5" ht="21" x14ac:dyDescent="0.35">
      <c r="B49" s="72" t="s">
        <v>89</v>
      </c>
      <c r="C49" s="96">
        <f>C48/(C35-C34)</f>
        <v>2.7022158169699153E-4</v>
      </c>
      <c r="D49" s="68" t="s">
        <v>20</v>
      </c>
      <c r="E49" s="31"/>
    </row>
    <row r="50" spans="2:5" ht="21" x14ac:dyDescent="0.35">
      <c r="B50" s="72" t="s">
        <v>90</v>
      </c>
      <c r="C50" s="92">
        <f>C44/C43</f>
        <v>2.1450459652706845E-2</v>
      </c>
      <c r="D50" s="68"/>
      <c r="E50" s="31"/>
    </row>
    <row r="51" spans="2:5" ht="21" x14ac:dyDescent="0.35">
      <c r="B51" s="72" t="s">
        <v>91</v>
      </c>
      <c r="C51" s="96">
        <f>C50/(C35-C34)</f>
        <v>2.3571933684293236E-4</v>
      </c>
      <c r="D51" s="68" t="s">
        <v>20</v>
      </c>
      <c r="E51" s="31"/>
    </row>
    <row r="52" spans="2:5" ht="21" x14ac:dyDescent="0.35">
      <c r="B52" s="31"/>
      <c r="C52" s="31"/>
      <c r="D52" s="31"/>
      <c r="E52" s="31"/>
    </row>
    <row r="53" spans="2:5" ht="21" x14ac:dyDescent="0.35">
      <c r="B53" s="72" t="s">
        <v>49</v>
      </c>
      <c r="C53" s="68"/>
      <c r="D53" s="68"/>
      <c r="E53" s="31"/>
    </row>
    <row r="54" spans="2:5" ht="21" x14ac:dyDescent="0.35">
      <c r="B54" s="72" t="s">
        <v>92</v>
      </c>
      <c r="C54" s="93">
        <f>(1+C45/C37)^(C39/(C35-C34))-1</f>
        <v>0.10234278875955805</v>
      </c>
      <c r="D54" s="68"/>
      <c r="E54" s="31"/>
    </row>
    <row r="55" spans="2:5" ht="21" x14ac:dyDescent="0.35">
      <c r="B55" s="72" t="s">
        <v>89</v>
      </c>
      <c r="C55" s="96">
        <f>LN(1+C54)</f>
        <v>9.7437722941771887E-2</v>
      </c>
      <c r="D55" s="68" t="s">
        <v>25</v>
      </c>
      <c r="E55" s="31"/>
    </row>
    <row r="56" spans="2:5" ht="21" x14ac:dyDescent="0.35">
      <c r="B56" s="72" t="s">
        <v>93</v>
      </c>
      <c r="C56" s="93">
        <f>(1+C44/C43)^(C39/(C35-C34))-1</f>
        <v>8.885618377514759E-2</v>
      </c>
      <c r="D56" s="68"/>
      <c r="E56" s="31"/>
    </row>
    <row r="57" spans="2:5" ht="21" x14ac:dyDescent="0.35">
      <c r="B57" s="72" t="s">
        <v>91</v>
      </c>
      <c r="C57" s="96">
        <f>LN(1+C56)</f>
        <v>8.512777258070002E-2</v>
      </c>
      <c r="D57" s="68" t="s">
        <v>25</v>
      </c>
      <c r="E57" s="31"/>
    </row>
    <row r="59" spans="2:5" ht="21" x14ac:dyDescent="0.35">
      <c r="B59" s="72" t="s">
        <v>51</v>
      </c>
      <c r="C59" s="94"/>
      <c r="D59" s="94"/>
    </row>
    <row r="60" spans="2:5" ht="21" x14ac:dyDescent="0.35">
      <c r="B60" s="72" t="s">
        <v>92</v>
      </c>
      <c r="C60" s="70">
        <f>C45/C37*C39/(C35-C34)</f>
        <v>9.86308773194019E-2</v>
      </c>
      <c r="D60" s="94"/>
    </row>
    <row r="61" spans="2:5" ht="21" x14ac:dyDescent="0.35">
      <c r="B61" s="72" t="s">
        <v>93</v>
      </c>
      <c r="C61" s="70">
        <f>C44/C43*C39/(C35-C34)</f>
        <v>8.6037557947670318E-2</v>
      </c>
      <c r="D61" s="94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F42"/>
  <sheetViews>
    <sheetView workbookViewId="0">
      <selection activeCell="F39" sqref="F39"/>
    </sheetView>
  </sheetViews>
  <sheetFormatPr defaultColWidth="9.140625" defaultRowHeight="18.75" x14ac:dyDescent="0.3"/>
  <cols>
    <col min="1" max="1" width="4" style="8" customWidth="1"/>
    <col min="2" max="2" width="22.85546875" style="8" bestFit="1" customWidth="1"/>
    <col min="3" max="3" width="18.85546875" style="8" bestFit="1" customWidth="1"/>
    <col min="4" max="4" width="14.140625" style="8" bestFit="1" customWidth="1"/>
    <col min="5" max="5" width="5.28515625" style="8" bestFit="1" customWidth="1"/>
    <col min="6" max="6" width="57.85546875" style="8" customWidth="1"/>
    <col min="7" max="7" width="11.42578125" style="8" customWidth="1"/>
    <col min="8" max="8" width="14.5703125" style="8" bestFit="1" customWidth="1"/>
    <col min="9" max="9" width="9.7109375" style="8" bestFit="1" customWidth="1"/>
    <col min="10" max="10" width="10.28515625" style="8" bestFit="1" customWidth="1"/>
    <col min="11" max="16384" width="9.140625" style="8"/>
  </cols>
  <sheetData>
    <row r="20" spans="2:4" x14ac:dyDescent="0.3">
      <c r="B20" s="25" t="s">
        <v>11</v>
      </c>
      <c r="C20" s="26"/>
      <c r="D20" s="26"/>
    </row>
    <row r="21" spans="2:4" x14ac:dyDescent="0.3">
      <c r="B21" s="29" t="s">
        <v>67</v>
      </c>
      <c r="C21" s="28"/>
      <c r="D21" s="28"/>
    </row>
    <row r="22" spans="2:4" x14ac:dyDescent="0.3">
      <c r="B22" s="29" t="s">
        <v>34</v>
      </c>
      <c r="C22" s="56">
        <v>0</v>
      </c>
      <c r="D22" s="28"/>
    </row>
    <row r="23" spans="2:4" x14ac:dyDescent="0.3">
      <c r="B23" s="29" t="s">
        <v>84</v>
      </c>
      <c r="C23" s="56">
        <v>20</v>
      </c>
      <c r="D23" s="30" t="s">
        <v>13</v>
      </c>
    </row>
    <row r="24" spans="2:4" x14ac:dyDescent="0.3">
      <c r="B24" s="29" t="s">
        <v>74</v>
      </c>
      <c r="C24" s="28">
        <v>100</v>
      </c>
      <c r="D24" s="28"/>
    </row>
    <row r="25" spans="2:4" x14ac:dyDescent="0.3">
      <c r="B25" s="29" t="s">
        <v>86</v>
      </c>
      <c r="C25" s="28">
        <v>99.71</v>
      </c>
      <c r="D25" s="28"/>
    </row>
    <row r="26" spans="2:4" x14ac:dyDescent="0.3">
      <c r="B26" s="29" t="s">
        <v>87</v>
      </c>
      <c r="C26" s="28">
        <f>12.5%</f>
        <v>0.125</v>
      </c>
      <c r="D26" s="28"/>
    </row>
    <row r="27" spans="2:4" x14ac:dyDescent="0.3">
      <c r="B27" s="29" t="s">
        <v>16</v>
      </c>
      <c r="C27" s="28">
        <v>365</v>
      </c>
      <c r="D27" s="28"/>
    </row>
    <row r="28" spans="2:4" x14ac:dyDescent="0.3">
      <c r="B28"/>
      <c r="C28"/>
      <c r="D28"/>
    </row>
    <row r="29" spans="2:4" ht="21" x14ac:dyDescent="0.35">
      <c r="B29" s="72" t="s">
        <v>95</v>
      </c>
      <c r="C29" s="91">
        <f>C24-C25</f>
        <v>0.29000000000000625</v>
      </c>
      <c r="D29" s="68"/>
    </row>
    <row r="30" spans="2:4" ht="21" x14ac:dyDescent="0.35">
      <c r="B30" s="72" t="s">
        <v>94</v>
      </c>
      <c r="C30" s="91">
        <f>C25+C26*(C24-C25)</f>
        <v>99.746249999999989</v>
      </c>
      <c r="D30" s="68"/>
    </row>
    <row r="31" spans="2:4" ht="21" x14ac:dyDescent="0.35">
      <c r="B31" s="72" t="s">
        <v>66</v>
      </c>
      <c r="C31" s="91">
        <f>C24-C30</f>
        <v>0.2537500000000108</v>
      </c>
      <c r="D31" s="68"/>
    </row>
    <row r="32" spans="2:4" ht="21" x14ac:dyDescent="0.35">
      <c r="D32" s="31"/>
    </row>
    <row r="33" spans="2:6" ht="21" x14ac:dyDescent="0.35">
      <c r="B33" s="175" t="s">
        <v>49</v>
      </c>
      <c r="C33" s="176"/>
      <c r="D33" s="177"/>
      <c r="E33" s="97"/>
      <c r="F33" s="97"/>
    </row>
    <row r="34" spans="2:6" ht="21" x14ac:dyDescent="0.35">
      <c r="B34" s="72" t="s">
        <v>109</v>
      </c>
      <c r="C34" s="93">
        <f>(1+C31/C30)^(C27/(C23-C22))-1</f>
        <v>4.7460045748293656E-2</v>
      </c>
      <c r="D34" s="68"/>
    </row>
    <row r="35" spans="2:6" ht="21" x14ac:dyDescent="0.35">
      <c r="B35" s="72" t="s">
        <v>110</v>
      </c>
      <c r="C35" s="95">
        <f>LN(1+C34)</f>
        <v>4.6368229602983507E-2</v>
      </c>
      <c r="D35" s="68" t="s">
        <v>25</v>
      </c>
    </row>
    <row r="36" spans="2:6" ht="21" x14ac:dyDescent="0.35">
      <c r="B36" s="72" t="s">
        <v>26</v>
      </c>
      <c r="C36" s="93">
        <f>(1+C34)^(1/2)-1</f>
        <v>2.3454955407561373E-2</v>
      </c>
      <c r="D36" s="68"/>
    </row>
    <row r="37" spans="2:6" ht="21" x14ac:dyDescent="0.35">
      <c r="B37" s="72" t="s">
        <v>111</v>
      </c>
      <c r="C37" s="95">
        <f>LN(1+C36)</f>
        <v>2.318411480149165E-2</v>
      </c>
      <c r="D37" s="68" t="s">
        <v>27</v>
      </c>
    </row>
    <row r="38" spans="2:6" x14ac:dyDescent="0.3">
      <c r="B38"/>
      <c r="C38"/>
      <c r="D38"/>
    </row>
    <row r="39" spans="2:6" ht="21" x14ac:dyDescent="0.35">
      <c r="B39" s="100" t="s">
        <v>51</v>
      </c>
      <c r="C39" s="99"/>
      <c r="D39" s="98"/>
      <c r="E39" s="97"/>
      <c r="F39" s="97"/>
    </row>
    <row r="40" spans="2:6" ht="21" x14ac:dyDescent="0.35">
      <c r="B40" s="72" t="s">
        <v>109</v>
      </c>
      <c r="C40" s="92">
        <f>C31/C30*C27/(C23-C22)</f>
        <v>4.6427183979349571E-2</v>
      </c>
      <c r="D40" s="57"/>
    </row>
    <row r="41" spans="2:6" ht="21" x14ac:dyDescent="0.35">
      <c r="B41" s="72" t="s">
        <v>26</v>
      </c>
      <c r="C41" s="92">
        <f>C40/2</f>
        <v>2.3213591989674785E-2</v>
      </c>
      <c r="D41" s="57"/>
    </row>
    <row r="42" spans="2:6" x14ac:dyDescent="0.3">
      <c r="B42"/>
      <c r="C42"/>
      <c r="D42"/>
    </row>
  </sheetData>
  <mergeCells count="1">
    <mergeCell ref="B33:D3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9"/>
  <sheetViews>
    <sheetView workbookViewId="0">
      <selection activeCell="B17" sqref="B17:B19"/>
    </sheetView>
  </sheetViews>
  <sheetFormatPr defaultColWidth="9.140625" defaultRowHeight="18.75" x14ac:dyDescent="0.3"/>
  <cols>
    <col min="1" max="1" width="4" style="8" customWidth="1"/>
    <col min="2" max="2" width="22.85546875" style="8" bestFit="1" customWidth="1"/>
    <col min="3" max="3" width="13.7109375" style="8" bestFit="1" customWidth="1"/>
    <col min="4" max="4" width="9.140625" style="8"/>
    <col min="5" max="5" width="5.28515625" style="8" bestFit="1" customWidth="1"/>
    <col min="6" max="6" width="57.85546875" style="8" customWidth="1"/>
    <col min="7" max="7" width="11.42578125" style="8" customWidth="1"/>
    <col min="8" max="8" width="14.5703125" style="8" bestFit="1" customWidth="1"/>
    <col min="9" max="9" width="9.7109375" style="8" bestFit="1" customWidth="1"/>
    <col min="10" max="10" width="10.28515625" style="8" bestFit="1" customWidth="1"/>
    <col min="11" max="16384" width="9.140625" style="8"/>
  </cols>
  <sheetData>
    <row r="10" spans="2:4" x14ac:dyDescent="0.3">
      <c r="B10" s="25" t="s">
        <v>11</v>
      </c>
      <c r="C10" s="26"/>
      <c r="D10" s="26"/>
    </row>
    <row r="11" spans="2:4" x14ac:dyDescent="0.3">
      <c r="B11" s="29" t="s">
        <v>12</v>
      </c>
      <c r="C11" s="54">
        <f>2+3/12</f>
        <v>2.25</v>
      </c>
      <c r="D11" s="28"/>
    </row>
    <row r="12" spans="2:4" x14ac:dyDescent="0.3">
      <c r="B12" s="29" t="s">
        <v>96</v>
      </c>
      <c r="C12" s="55" t="s">
        <v>97</v>
      </c>
      <c r="D12" s="28"/>
    </row>
    <row r="14" spans="2:4" x14ac:dyDescent="0.3">
      <c r="B14" s="58" t="s">
        <v>75</v>
      </c>
      <c r="C14" s="101">
        <f>1</f>
        <v>1</v>
      </c>
    </row>
    <row r="15" spans="2:4" x14ac:dyDescent="0.3">
      <c r="B15" s="58" t="s">
        <v>56</v>
      </c>
      <c r="C15" s="101">
        <f>C14/(1+C14)</f>
        <v>0.5</v>
      </c>
    </row>
    <row r="17" spans="2:3" x14ac:dyDescent="0.3">
      <c r="B17" s="58" t="s">
        <v>49</v>
      </c>
      <c r="C17" s="63"/>
    </row>
    <row r="18" spans="2:3" x14ac:dyDescent="0.3">
      <c r="B18" s="58" t="s">
        <v>98</v>
      </c>
      <c r="C18" s="64">
        <f>(1+C14)^(1/C11)-1</f>
        <v>0.3607900001743769</v>
      </c>
    </row>
    <row r="19" spans="2:3" x14ac:dyDescent="0.3">
      <c r="B19" s="58" t="s">
        <v>26</v>
      </c>
      <c r="C19" s="64">
        <f>(1+C18)^(1/2)-1</f>
        <v>0.16652903957611653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6"/>
  <sheetViews>
    <sheetView topLeftCell="A4" workbookViewId="0">
      <selection activeCell="F29" sqref="F29"/>
    </sheetView>
  </sheetViews>
  <sheetFormatPr defaultColWidth="9.140625" defaultRowHeight="18.75" x14ac:dyDescent="0.3"/>
  <cols>
    <col min="1" max="1" width="4" style="8" customWidth="1"/>
    <col min="2" max="2" width="22.85546875" style="8" bestFit="1" customWidth="1"/>
    <col min="3" max="3" width="13.7109375" style="8" bestFit="1" customWidth="1"/>
    <col min="4" max="4" width="9.140625" style="8"/>
    <col min="5" max="5" width="8.28515625" style="8" bestFit="1" customWidth="1"/>
    <col min="6" max="6" width="57.85546875" style="8" customWidth="1"/>
    <col min="7" max="7" width="11.42578125" style="8" customWidth="1"/>
    <col min="8" max="8" width="14.5703125" style="8" bestFit="1" customWidth="1"/>
    <col min="9" max="9" width="9.7109375" style="8" bestFit="1" customWidth="1"/>
    <col min="10" max="10" width="10.28515625" style="8" bestFit="1" customWidth="1"/>
    <col min="11" max="16384" width="9.140625" style="8"/>
  </cols>
  <sheetData>
    <row r="9" spans="2:4" x14ac:dyDescent="0.3">
      <c r="B9" s="25" t="s">
        <v>11</v>
      </c>
      <c r="C9" s="26"/>
      <c r="D9" s="26"/>
    </row>
    <row r="10" spans="2:4" x14ac:dyDescent="0.3">
      <c r="B10" s="29" t="s">
        <v>12</v>
      </c>
      <c r="C10" s="28">
        <f>1/2</f>
        <v>0.5</v>
      </c>
      <c r="D10" s="28"/>
    </row>
    <row r="11" spans="2:4" x14ac:dyDescent="0.3">
      <c r="B11" s="29" t="s">
        <v>75</v>
      </c>
      <c r="C11" s="28">
        <f>2.3%</f>
        <v>2.3E-2</v>
      </c>
      <c r="D11" s="28"/>
    </row>
    <row r="16" spans="2:4" x14ac:dyDescent="0.3">
      <c r="B16" s="58" t="s">
        <v>29</v>
      </c>
    </row>
    <row r="20" spans="2:5" x14ac:dyDescent="0.3">
      <c r="B20" s="1" t="s">
        <v>101</v>
      </c>
      <c r="C20" s="8">
        <f>1/C10*LN(1+C11*C10)</f>
        <v>2.2868755251326339E-2</v>
      </c>
      <c r="D20" s="1" t="s">
        <v>25</v>
      </c>
    </row>
    <row r="22" spans="2:5" x14ac:dyDescent="0.3">
      <c r="B22" s="58" t="s">
        <v>44</v>
      </c>
    </row>
    <row r="24" spans="2:5" x14ac:dyDescent="0.3">
      <c r="E24" s="1" t="s">
        <v>102</v>
      </c>
    </row>
    <row r="26" spans="2:5" x14ac:dyDescent="0.3">
      <c r="B26" s="1" t="s">
        <v>101</v>
      </c>
      <c r="C26" s="8">
        <f>LN(1+C11)</f>
        <v>2.2739486969489339E-2</v>
      </c>
      <c r="D26" s="1" t="s">
        <v>25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D39"/>
  <sheetViews>
    <sheetView workbookViewId="0">
      <selection activeCell="F41" sqref="F41"/>
    </sheetView>
  </sheetViews>
  <sheetFormatPr defaultColWidth="9.140625" defaultRowHeight="18.75" x14ac:dyDescent="0.3"/>
  <cols>
    <col min="1" max="1" width="4" style="8" customWidth="1"/>
    <col min="2" max="2" width="22.85546875" style="8" bestFit="1" customWidth="1"/>
    <col min="3" max="3" width="13.7109375" style="8" bestFit="1" customWidth="1"/>
    <col min="4" max="4" width="9.140625" style="8"/>
    <col min="5" max="5" width="5.28515625" style="8" bestFit="1" customWidth="1"/>
    <col min="6" max="6" width="57.85546875" style="8" customWidth="1"/>
    <col min="7" max="7" width="11.42578125" style="8" customWidth="1"/>
    <col min="8" max="8" width="14.5703125" style="8" bestFit="1" customWidth="1"/>
    <col min="9" max="9" width="9.7109375" style="8" bestFit="1" customWidth="1"/>
    <col min="10" max="10" width="10.28515625" style="8" bestFit="1" customWidth="1"/>
    <col min="11" max="16384" width="9.140625" style="8"/>
  </cols>
  <sheetData>
    <row r="14" spans="2:4" x14ac:dyDescent="0.3">
      <c r="B14" s="25" t="s">
        <v>11</v>
      </c>
      <c r="C14" s="26"/>
      <c r="D14" s="26"/>
    </row>
    <row r="15" spans="2:4" x14ac:dyDescent="0.3">
      <c r="B15" s="29" t="s">
        <v>53</v>
      </c>
      <c r="C15" s="28">
        <v>7.4999999999999997E-3</v>
      </c>
      <c r="D15" s="28"/>
    </row>
    <row r="16" spans="2:4" x14ac:dyDescent="0.3">
      <c r="B16" s="29" t="s">
        <v>54</v>
      </c>
      <c r="C16" s="30">
        <v>2.9999999999999997E-4</v>
      </c>
      <c r="D16" s="28"/>
    </row>
    <row r="17" spans="2:4" x14ac:dyDescent="0.3">
      <c r="B17" s="29" t="s">
        <v>55</v>
      </c>
      <c r="C17" s="30">
        <v>1.5499999999999999E-3</v>
      </c>
      <c r="D17" s="28"/>
    </row>
    <row r="18" spans="2:4" x14ac:dyDescent="0.3">
      <c r="B18" s="29" t="s">
        <v>73</v>
      </c>
      <c r="C18" s="28">
        <v>1</v>
      </c>
      <c r="D18" s="28"/>
    </row>
    <row r="20" spans="2:4" x14ac:dyDescent="0.3">
      <c r="B20" s="1" t="s">
        <v>112</v>
      </c>
    </row>
    <row r="27" spans="2:4" x14ac:dyDescent="0.3">
      <c r="B27" s="178" t="s">
        <v>113</v>
      </c>
      <c r="C27" s="178"/>
    </row>
    <row r="33" spans="2:4" x14ac:dyDescent="0.3">
      <c r="B33" s="1" t="s">
        <v>114</v>
      </c>
    </row>
    <row r="34" spans="2:4" x14ac:dyDescent="0.3">
      <c r="B34" s="58" t="s">
        <v>115</v>
      </c>
      <c r="C34" s="63">
        <f>EXP(C15*C18+C16*C18^2/2+C17*C18^4/4)</f>
        <v>1.0080698874162612</v>
      </c>
      <c r="D34" s="63"/>
    </row>
    <row r="35" spans="2:4" x14ac:dyDescent="0.3">
      <c r="B35" s="58" t="s">
        <v>116</v>
      </c>
      <c r="C35" s="63">
        <f>1/C34</f>
        <v>0.99199471433776798</v>
      </c>
      <c r="D35" s="63"/>
    </row>
    <row r="36" spans="2:4" x14ac:dyDescent="0.3">
      <c r="B36" s="58" t="s">
        <v>117</v>
      </c>
      <c r="C36" s="66">
        <f>1-C35</f>
        <v>8.0052856622320201E-3</v>
      </c>
      <c r="D36" s="63"/>
    </row>
    <row r="37" spans="2:4" x14ac:dyDescent="0.3">
      <c r="B37" s="102" t="s">
        <v>119</v>
      </c>
      <c r="C37" s="63">
        <f>(C34-1)/C18</f>
        <v>8.0698874162612455E-3</v>
      </c>
      <c r="D37" s="62" t="s">
        <v>25</v>
      </c>
    </row>
    <row r="38" spans="2:4" x14ac:dyDescent="0.3">
      <c r="B38" s="58" t="s">
        <v>118</v>
      </c>
      <c r="C38" s="63">
        <f>C36/C18</f>
        <v>8.0052856622320201E-3</v>
      </c>
      <c r="D38" s="62" t="s">
        <v>25</v>
      </c>
    </row>
    <row r="39" spans="2:4" x14ac:dyDescent="0.3">
      <c r="B39" s="58" t="s">
        <v>120</v>
      </c>
      <c r="C39" s="63">
        <f>-1/C18*LN(C35)</f>
        <v>8.0374999999999822E-3</v>
      </c>
      <c r="D39" s="62" t="s">
        <v>25</v>
      </c>
    </row>
  </sheetData>
  <mergeCells count="1">
    <mergeCell ref="B27:C2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F38"/>
  <sheetViews>
    <sheetView workbookViewId="0">
      <selection activeCell="B38" sqref="B38"/>
    </sheetView>
  </sheetViews>
  <sheetFormatPr defaultColWidth="9.140625" defaultRowHeight="18.75" x14ac:dyDescent="0.3"/>
  <cols>
    <col min="1" max="1" width="4" style="8" customWidth="1"/>
    <col min="2" max="2" width="22.85546875" style="8" bestFit="1" customWidth="1"/>
    <col min="3" max="3" width="13.7109375" style="8" bestFit="1" customWidth="1"/>
    <col min="4" max="4" width="9.140625" style="8"/>
    <col min="5" max="5" width="5.28515625" style="8" bestFit="1" customWidth="1"/>
    <col min="6" max="6" width="57.85546875" style="8" customWidth="1"/>
    <col min="7" max="7" width="11.42578125" style="8" customWidth="1"/>
    <col min="8" max="8" width="14.5703125" style="8" bestFit="1" customWidth="1"/>
    <col min="9" max="9" width="9.7109375" style="8" bestFit="1" customWidth="1"/>
    <col min="10" max="10" width="10.28515625" style="8" bestFit="1" customWidth="1"/>
    <col min="11" max="16384" width="9.140625" style="8"/>
  </cols>
  <sheetData>
    <row r="11" spans="2:4" x14ac:dyDescent="0.3">
      <c r="B11" s="25" t="s">
        <v>11</v>
      </c>
      <c r="C11" s="26"/>
      <c r="D11" s="26"/>
    </row>
    <row r="12" spans="2:4" x14ac:dyDescent="0.3">
      <c r="B12" s="29" t="s">
        <v>53</v>
      </c>
      <c r="C12" s="28">
        <f>0.0015</f>
        <v>1.5E-3</v>
      </c>
      <c r="D12" s="28"/>
    </row>
    <row r="13" spans="2:4" x14ac:dyDescent="0.3">
      <c r="B13" s="29" t="s">
        <v>54</v>
      </c>
      <c r="C13" s="28">
        <f>0.00075</f>
        <v>7.5000000000000002E-4</v>
      </c>
      <c r="D13" s="28"/>
    </row>
    <row r="14" spans="2:4" x14ac:dyDescent="0.3">
      <c r="B14" s="29" t="s">
        <v>12</v>
      </c>
      <c r="C14" s="30">
        <v>0</v>
      </c>
      <c r="D14" s="28"/>
    </row>
    <row r="15" spans="2:4" x14ac:dyDescent="0.3">
      <c r="B15" s="29" t="s">
        <v>73</v>
      </c>
      <c r="C15" s="28">
        <v>6</v>
      </c>
      <c r="D15" s="30" t="s">
        <v>36</v>
      </c>
    </row>
    <row r="18" spans="2:6" x14ac:dyDescent="0.3">
      <c r="B18" s="1" t="s">
        <v>121</v>
      </c>
    </row>
    <row r="22" spans="2:6" x14ac:dyDescent="0.3">
      <c r="B22" s="1" t="s">
        <v>114</v>
      </c>
    </row>
    <row r="23" spans="2:6" x14ac:dyDescent="0.3">
      <c r="B23" s="58" t="s">
        <v>124</v>
      </c>
      <c r="C23" s="63">
        <f>EXP(-(C12+C13*C15/12)*C15/12)</f>
        <v>0.99906293931582812</v>
      </c>
    </row>
    <row r="24" spans="2:6" x14ac:dyDescent="0.3">
      <c r="B24" s="58" t="s">
        <v>125</v>
      </c>
      <c r="C24" s="63">
        <f>1/C23</f>
        <v>1.0009379395904863</v>
      </c>
    </row>
    <row r="25" spans="2:6" x14ac:dyDescent="0.3">
      <c r="B25" s="58" t="s">
        <v>126</v>
      </c>
      <c r="C25" s="66">
        <f>1-C23</f>
        <v>9.3706068417187538E-4</v>
      </c>
    </row>
    <row r="26" spans="2:6" x14ac:dyDescent="0.3">
      <c r="B26" s="58" t="s">
        <v>127</v>
      </c>
      <c r="C26" s="66">
        <f>C24-1</f>
        <v>9.3793959048626974E-4</v>
      </c>
    </row>
    <row r="27" spans="2:6" x14ac:dyDescent="0.3">
      <c r="B27" s="1"/>
    </row>
    <row r="28" spans="2:6" x14ac:dyDescent="0.3">
      <c r="B28" s="178" t="s">
        <v>122</v>
      </c>
      <c r="C28" s="178"/>
      <c r="D28" s="178"/>
      <c r="E28" s="178"/>
      <c r="F28" s="178"/>
    </row>
    <row r="33" spans="2:4" x14ac:dyDescent="0.3">
      <c r="B33" s="178" t="s">
        <v>123</v>
      </c>
      <c r="C33" s="178"/>
    </row>
    <row r="38" spans="2:4" x14ac:dyDescent="0.3">
      <c r="B38" s="58" t="s">
        <v>128</v>
      </c>
      <c r="C38" s="63">
        <f>C12+2*C13*C15/12</f>
        <v>2.2500000000000003E-3</v>
      </c>
      <c r="D38" s="62" t="s">
        <v>25</v>
      </c>
    </row>
  </sheetData>
  <mergeCells count="2">
    <mergeCell ref="B28:F28"/>
    <mergeCell ref="B33:C3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K35"/>
  <sheetViews>
    <sheetView workbookViewId="0">
      <selection activeCell="B2" sqref="B2:K13"/>
    </sheetView>
  </sheetViews>
  <sheetFormatPr defaultRowHeight="15" x14ac:dyDescent="0.25"/>
  <cols>
    <col min="2" max="2" width="21.28515625" customWidth="1"/>
    <col min="3" max="3" width="19.7109375" customWidth="1"/>
    <col min="6" max="6" width="10.85546875" bestFit="1" customWidth="1"/>
  </cols>
  <sheetData>
    <row r="2" spans="2:11" ht="15" customHeight="1" x14ac:dyDescent="0.25">
      <c r="B2" s="179" t="s">
        <v>170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2:11" ht="15" customHeight="1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2:11" ht="15" customHeight="1" x14ac:dyDescent="0.25"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2:11" ht="15" customHeight="1" x14ac:dyDescent="0.25"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2:11" ht="15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2:11" ht="15" customHeight="1" x14ac:dyDescent="0.25">
      <c r="B7" s="179"/>
      <c r="C7" s="179"/>
      <c r="D7" s="179"/>
      <c r="E7" s="179"/>
      <c r="F7" s="179"/>
      <c r="G7" s="179"/>
      <c r="H7" s="179"/>
      <c r="I7" s="179"/>
      <c r="J7" s="179"/>
      <c r="K7" s="179"/>
    </row>
    <row r="8" spans="2:11" ht="15" customHeight="1" x14ac:dyDescent="0.25"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2:11" ht="15" customHeight="1" x14ac:dyDescent="0.25">
      <c r="B9" s="179"/>
      <c r="C9" s="179"/>
      <c r="D9" s="179"/>
      <c r="E9" s="179"/>
      <c r="F9" s="179"/>
      <c r="G9" s="179"/>
      <c r="H9" s="179"/>
      <c r="I9" s="179"/>
      <c r="J9" s="179"/>
      <c r="K9" s="179"/>
    </row>
    <row r="10" spans="2:11" ht="15" customHeight="1" x14ac:dyDescent="0.25"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2:11" ht="15" customHeight="1" x14ac:dyDescent="0.25">
      <c r="B11" s="179"/>
      <c r="C11" s="179"/>
      <c r="D11" s="179"/>
      <c r="E11" s="179"/>
      <c r="F11" s="179"/>
      <c r="G11" s="179"/>
      <c r="H11" s="179"/>
      <c r="I11" s="179"/>
      <c r="J11" s="179"/>
      <c r="K11" s="179"/>
    </row>
    <row r="12" spans="2:11" ht="15" customHeight="1" x14ac:dyDescent="0.25"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2:11" ht="15" customHeight="1" x14ac:dyDescent="0.25">
      <c r="B13" s="179"/>
      <c r="C13" s="179"/>
      <c r="D13" s="179"/>
      <c r="E13" s="179"/>
      <c r="F13" s="179"/>
      <c r="G13" s="179"/>
      <c r="H13" s="179"/>
      <c r="I13" s="179"/>
      <c r="J13" s="179"/>
      <c r="K13" s="179"/>
    </row>
    <row r="14" spans="2:11" ht="15" customHeight="1" x14ac:dyDescent="0.25"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2:11" ht="15" customHeight="1" x14ac:dyDescent="0.25"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2:11" ht="20.100000000000001" customHeight="1" x14ac:dyDescent="0.25">
      <c r="B16" s="110" t="s">
        <v>75</v>
      </c>
      <c r="C16" s="108">
        <v>0.04</v>
      </c>
      <c r="D16" s="104"/>
      <c r="E16" s="104"/>
      <c r="F16" s="104"/>
      <c r="G16" s="104"/>
      <c r="H16" s="104"/>
      <c r="I16" s="104"/>
      <c r="J16" s="104"/>
      <c r="K16" s="104"/>
    </row>
    <row r="17" spans="1:11" ht="20.100000000000001" customHeight="1" x14ac:dyDescent="0.25">
      <c r="B17" s="110" t="s">
        <v>146</v>
      </c>
      <c r="C17" s="109" t="s">
        <v>147</v>
      </c>
      <c r="D17" s="104"/>
      <c r="E17" s="104"/>
      <c r="F17" s="109" t="s">
        <v>169</v>
      </c>
      <c r="G17" s="104"/>
      <c r="H17" s="104"/>
      <c r="I17" s="104"/>
      <c r="J17" s="104"/>
      <c r="K17" s="104"/>
    </row>
    <row r="18" spans="1:11" ht="20.100000000000001" customHeight="1" x14ac:dyDescent="0.25"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20.100000000000001" customHeight="1" x14ac:dyDescent="0.25">
      <c r="A19" s="114" t="s">
        <v>53</v>
      </c>
      <c r="B19" s="111" t="s">
        <v>148</v>
      </c>
      <c r="C19" s="112">
        <f>(1+C16)^3-1</f>
        <v>0.12486400000000009</v>
      </c>
      <c r="D19" s="104"/>
      <c r="E19" s="104"/>
      <c r="F19" s="104">
        <f>C16*3</f>
        <v>0.12</v>
      </c>
      <c r="G19" s="104"/>
      <c r="H19" s="104"/>
      <c r="I19" s="104"/>
      <c r="J19" s="104"/>
      <c r="K19" s="104"/>
    </row>
    <row r="20" spans="1:11" ht="20.100000000000001" customHeight="1" x14ac:dyDescent="0.3">
      <c r="A20" s="105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20.100000000000001" customHeight="1" x14ac:dyDescent="0.25">
      <c r="A21" s="180" t="s">
        <v>54</v>
      </c>
      <c r="B21" s="110" t="s">
        <v>149</v>
      </c>
      <c r="C21" s="107">
        <v>1.1499999999999999</v>
      </c>
      <c r="D21" s="104"/>
      <c r="E21" s="104"/>
      <c r="F21" s="104">
        <v>1.1499999999999999</v>
      </c>
      <c r="G21" s="104"/>
      <c r="H21" s="104"/>
      <c r="I21" s="104"/>
      <c r="J21" s="104"/>
      <c r="K21" s="104"/>
    </row>
    <row r="22" spans="1:11" ht="20.100000000000001" customHeight="1" x14ac:dyDescent="0.3">
      <c r="A22" s="182"/>
      <c r="B22" s="111" t="s">
        <v>12</v>
      </c>
      <c r="C22" s="113">
        <f>LN(C21)/LN(1+C16)</f>
        <v>3.5634727453563833</v>
      </c>
      <c r="D22" s="105"/>
      <c r="F22">
        <f>(F21/1-1)*(1/C16)</f>
        <v>3.7499999999999978</v>
      </c>
    </row>
    <row r="23" spans="1:11" ht="20.100000000000001" customHeight="1" x14ac:dyDescent="0.3">
      <c r="A23" s="105"/>
      <c r="B23" s="105"/>
      <c r="C23" s="105"/>
      <c r="D23" s="105"/>
    </row>
    <row r="24" spans="1:11" ht="20.100000000000001" customHeight="1" x14ac:dyDescent="0.3">
      <c r="A24" s="180" t="s">
        <v>55</v>
      </c>
      <c r="B24" s="110" t="s">
        <v>149</v>
      </c>
      <c r="C24" s="61">
        <v>2</v>
      </c>
      <c r="D24" s="105"/>
      <c r="F24">
        <v>2</v>
      </c>
    </row>
    <row r="25" spans="1:11" ht="20.100000000000001" customHeight="1" x14ac:dyDescent="0.3">
      <c r="A25" s="182"/>
      <c r="B25" s="111" t="s">
        <v>12</v>
      </c>
      <c r="C25" s="113">
        <f>LN(C24)/LN(1+C16)</f>
        <v>17.672987685129698</v>
      </c>
      <c r="D25" s="105"/>
      <c r="F25">
        <f>(F24/1-1)*(1/C16)</f>
        <v>25</v>
      </c>
    </row>
    <row r="26" spans="1:11" ht="20.100000000000001" customHeight="1" x14ac:dyDescent="0.3">
      <c r="A26" s="105"/>
      <c r="B26" s="105"/>
      <c r="C26" s="105"/>
      <c r="D26" s="105"/>
    </row>
    <row r="27" spans="1:11" ht="20.100000000000001" customHeight="1" x14ac:dyDescent="0.3">
      <c r="A27" s="180" t="s">
        <v>56</v>
      </c>
      <c r="B27" s="110" t="s">
        <v>149</v>
      </c>
      <c r="C27" s="61">
        <v>2</v>
      </c>
      <c r="D27" s="61"/>
      <c r="F27">
        <v>2</v>
      </c>
    </row>
    <row r="28" spans="1:11" ht="20.100000000000001" customHeight="1" x14ac:dyDescent="0.3">
      <c r="A28" s="181"/>
      <c r="B28" s="110" t="s">
        <v>12</v>
      </c>
      <c r="C28" s="61">
        <v>10</v>
      </c>
      <c r="D28" s="61" t="s">
        <v>48</v>
      </c>
      <c r="F28">
        <v>10</v>
      </c>
    </row>
    <row r="29" spans="1:11" ht="20.100000000000001" customHeight="1" x14ac:dyDescent="0.3">
      <c r="A29" s="182"/>
      <c r="B29" s="111" t="s">
        <v>75</v>
      </c>
      <c r="C29" s="60">
        <f>C27^(1/C28)-1</f>
        <v>7.1773462536293131E-2</v>
      </c>
      <c r="D29" s="61"/>
      <c r="F29" s="124">
        <f>(F27/1-1)*(1/F28)</f>
        <v>0.1</v>
      </c>
    </row>
    <row r="30" spans="1:11" ht="20.100000000000001" customHeight="1" x14ac:dyDescent="0.3">
      <c r="A30" s="105"/>
      <c r="B30" s="105"/>
      <c r="C30" s="105"/>
      <c r="D30" s="105"/>
    </row>
    <row r="31" spans="1:11" ht="20.100000000000001" customHeight="1" x14ac:dyDescent="0.25"/>
    <row r="32" spans="1:11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4">
    <mergeCell ref="B2:K13"/>
    <mergeCell ref="A27:A29"/>
    <mergeCell ref="A24:A25"/>
    <mergeCell ref="A21:A2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L39"/>
  <sheetViews>
    <sheetView topLeftCell="A19" workbookViewId="0">
      <selection activeCell="B2" sqref="B2:K13"/>
    </sheetView>
  </sheetViews>
  <sheetFormatPr defaultRowHeight="15" x14ac:dyDescent="0.25"/>
  <cols>
    <col min="3" max="3" width="11.5703125" customWidth="1"/>
    <col min="5" max="5" width="14.7109375" customWidth="1"/>
  </cols>
  <sheetData>
    <row r="2" spans="2:12" x14ac:dyDescent="0.25">
      <c r="B2" s="183" t="s">
        <v>150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2" x14ac:dyDescent="0.25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2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2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2" x14ac:dyDescent="0.25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2" x14ac:dyDescent="0.25"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2:12" x14ac:dyDescent="0.25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2" x14ac:dyDescent="0.25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2" x14ac:dyDescent="0.25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2" x14ac:dyDescent="0.25"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spans="2:12" x14ac:dyDescent="0.25"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2:12" x14ac:dyDescent="0.25"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5" spans="2:12" ht="18.75" x14ac:dyDescent="0.3">
      <c r="B15" s="106" t="s">
        <v>75</v>
      </c>
      <c r="C15" s="118">
        <v>0.05</v>
      </c>
      <c r="D15" s="105"/>
      <c r="E15" s="105"/>
      <c r="F15" s="105"/>
      <c r="G15" s="105"/>
      <c r="H15" s="105"/>
      <c r="I15" s="105"/>
      <c r="J15" s="105"/>
      <c r="K15" s="105"/>
      <c r="L15" s="105"/>
    </row>
    <row r="16" spans="2:12" ht="18.75" x14ac:dyDescent="0.3">
      <c r="B16" s="105"/>
      <c r="C16" s="11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2:12" ht="18.75" x14ac:dyDescent="0.3">
      <c r="B17" s="184" t="s">
        <v>145</v>
      </c>
      <c r="C17" s="184"/>
      <c r="D17" s="184"/>
      <c r="E17" s="184"/>
      <c r="F17" s="184"/>
      <c r="G17" s="184"/>
      <c r="H17" s="105"/>
      <c r="I17" s="105"/>
      <c r="J17" s="105"/>
      <c r="K17" s="105"/>
      <c r="L17" s="105"/>
    </row>
    <row r="18" spans="2:12" ht="18.75" x14ac:dyDescent="0.3">
      <c r="B18" s="88" t="s">
        <v>151</v>
      </c>
      <c r="C18" s="88" t="s">
        <v>152</v>
      </c>
      <c r="D18" s="88" t="s">
        <v>153</v>
      </c>
      <c r="E18" s="88" t="s">
        <v>154</v>
      </c>
      <c r="F18" s="88" t="s">
        <v>155</v>
      </c>
      <c r="G18" s="88" t="s">
        <v>156</v>
      </c>
      <c r="H18" s="105"/>
      <c r="I18" s="105"/>
      <c r="J18" s="105"/>
      <c r="K18" s="105"/>
      <c r="L18" s="105"/>
    </row>
    <row r="19" spans="2:12" ht="18.75" x14ac:dyDescent="0.3">
      <c r="B19" s="61">
        <v>0</v>
      </c>
      <c r="C19" s="61">
        <v>1000</v>
      </c>
      <c r="D19" s="61"/>
      <c r="E19" s="61"/>
      <c r="F19" s="61"/>
      <c r="G19" s="61"/>
      <c r="H19" s="105"/>
      <c r="I19" s="105"/>
      <c r="J19" s="105"/>
      <c r="K19" s="105"/>
      <c r="L19" s="105"/>
    </row>
    <row r="20" spans="2:12" ht="18.75" x14ac:dyDescent="0.3">
      <c r="B20" s="61">
        <v>1</v>
      </c>
      <c r="C20" s="61">
        <f>C19+$C$19*$C$15</f>
        <v>1050</v>
      </c>
      <c r="D20" s="61">
        <f>C20-C19</f>
        <v>50</v>
      </c>
      <c r="E20" s="60">
        <f>D20/C19</f>
        <v>0.05</v>
      </c>
      <c r="F20" s="113">
        <f>C19/C20</f>
        <v>0.95238095238095233</v>
      </c>
      <c r="G20" s="116">
        <f>C20/C19</f>
        <v>1.05</v>
      </c>
      <c r="H20" s="105"/>
      <c r="I20" s="105"/>
      <c r="J20" s="105"/>
      <c r="K20" s="105"/>
      <c r="L20" s="105"/>
    </row>
    <row r="21" spans="2:12" ht="18.75" x14ac:dyDescent="0.3">
      <c r="B21" s="61">
        <v>2</v>
      </c>
      <c r="C21" s="61">
        <f>C20+$C$19*$C$15</f>
        <v>1100</v>
      </c>
      <c r="D21" s="61">
        <f t="shared" ref="D21:D24" si="0">C21-C20</f>
        <v>50</v>
      </c>
      <c r="E21" s="60">
        <f t="shared" ref="E21:E24" si="1">D21/C20</f>
        <v>4.7619047619047616E-2</v>
      </c>
      <c r="F21" s="113">
        <f t="shared" ref="F21:F24" si="2">C20/C21</f>
        <v>0.95454545454545459</v>
      </c>
      <c r="G21" s="116">
        <f t="shared" ref="G21:G24" si="3">C21/C20</f>
        <v>1.0476190476190477</v>
      </c>
      <c r="H21" s="105"/>
      <c r="I21" s="105"/>
      <c r="J21" s="105"/>
      <c r="K21" s="105"/>
      <c r="L21" s="105"/>
    </row>
    <row r="22" spans="2:12" ht="18.75" x14ac:dyDescent="0.3">
      <c r="B22" s="61">
        <v>3</v>
      </c>
      <c r="C22" s="61">
        <f>C21+$C$19*$C$15</f>
        <v>1150</v>
      </c>
      <c r="D22" s="61">
        <f t="shared" si="0"/>
        <v>50</v>
      </c>
      <c r="E22" s="60">
        <f t="shared" si="1"/>
        <v>4.5454545454545456E-2</v>
      </c>
      <c r="F22" s="113">
        <f t="shared" si="2"/>
        <v>0.95652173913043481</v>
      </c>
      <c r="G22" s="116">
        <f t="shared" si="3"/>
        <v>1.0454545454545454</v>
      </c>
      <c r="H22" s="105"/>
      <c r="I22" s="105"/>
      <c r="J22" s="105"/>
      <c r="K22" s="105"/>
      <c r="L22" s="105"/>
    </row>
    <row r="23" spans="2:12" ht="18.75" x14ac:dyDescent="0.3">
      <c r="B23" s="61">
        <v>4</v>
      </c>
      <c r="C23" s="61">
        <f>C22+$C$19*$C$15</f>
        <v>1200</v>
      </c>
      <c r="D23" s="61">
        <f t="shared" si="0"/>
        <v>50</v>
      </c>
      <c r="E23" s="60">
        <f t="shared" si="1"/>
        <v>4.3478260869565216E-2</v>
      </c>
      <c r="F23" s="113">
        <f t="shared" si="2"/>
        <v>0.95833333333333337</v>
      </c>
      <c r="G23" s="116">
        <f t="shared" si="3"/>
        <v>1.0434782608695652</v>
      </c>
      <c r="H23" s="105"/>
      <c r="I23" s="105"/>
      <c r="J23" s="105"/>
      <c r="K23" s="105"/>
      <c r="L23" s="105"/>
    </row>
    <row r="24" spans="2:12" ht="18.75" x14ac:dyDescent="0.3">
      <c r="B24" s="61">
        <v>5</v>
      </c>
      <c r="C24" s="61">
        <f>C23+$C$19*$C$15</f>
        <v>1250</v>
      </c>
      <c r="D24" s="61">
        <f t="shared" si="0"/>
        <v>50</v>
      </c>
      <c r="E24" s="60">
        <f t="shared" si="1"/>
        <v>4.1666666666666664E-2</v>
      </c>
      <c r="F24" s="113">
        <f t="shared" si="2"/>
        <v>0.96</v>
      </c>
      <c r="G24" s="116">
        <f t="shared" si="3"/>
        <v>1.0416666666666667</v>
      </c>
      <c r="H24" s="105"/>
      <c r="I24" s="105"/>
      <c r="J24" s="105"/>
      <c r="K24" s="105"/>
      <c r="L24" s="105"/>
    </row>
    <row r="25" spans="2:12" ht="18.75" x14ac:dyDescent="0.3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2:12" ht="18.75" x14ac:dyDescent="0.3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2:12" ht="18.75" x14ac:dyDescent="0.3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  <row r="28" spans="2:12" ht="18.75" x14ac:dyDescent="0.3">
      <c r="B28" s="184" t="s">
        <v>130</v>
      </c>
      <c r="C28" s="184"/>
      <c r="D28" s="184"/>
      <c r="E28" s="184"/>
      <c r="F28" s="184"/>
      <c r="G28" s="184"/>
      <c r="H28" s="105"/>
      <c r="I28" s="105"/>
      <c r="J28" s="105"/>
      <c r="K28" s="105"/>
      <c r="L28" s="105"/>
    </row>
    <row r="29" spans="2:12" ht="18.75" x14ac:dyDescent="0.3">
      <c r="B29" s="88" t="s">
        <v>151</v>
      </c>
      <c r="C29" s="88" t="s">
        <v>152</v>
      </c>
      <c r="D29" s="88" t="s">
        <v>153</v>
      </c>
      <c r="E29" s="88" t="s">
        <v>154</v>
      </c>
      <c r="F29" s="88" t="s">
        <v>155</v>
      </c>
      <c r="G29" s="88" t="s">
        <v>156</v>
      </c>
      <c r="H29" s="105"/>
      <c r="I29" s="105"/>
      <c r="J29" s="105"/>
      <c r="K29" s="105"/>
      <c r="L29" s="105"/>
    </row>
    <row r="30" spans="2:12" ht="18.75" x14ac:dyDescent="0.3">
      <c r="B30" s="61">
        <v>0</v>
      </c>
      <c r="C30" s="117">
        <v>1000</v>
      </c>
      <c r="D30" s="61"/>
      <c r="E30" s="61"/>
      <c r="F30" s="61"/>
      <c r="G30" s="61"/>
      <c r="H30" s="105"/>
      <c r="I30" s="105"/>
      <c r="J30" s="105"/>
      <c r="K30" s="105"/>
      <c r="L30" s="105"/>
    </row>
    <row r="31" spans="2:12" ht="18.75" x14ac:dyDescent="0.3">
      <c r="B31" s="61">
        <v>1</v>
      </c>
      <c r="C31" s="117">
        <f>C30+C30*$C$15</f>
        <v>1050</v>
      </c>
      <c r="D31" s="117">
        <f>C31-C30</f>
        <v>50</v>
      </c>
      <c r="E31" s="60">
        <f>D31/C30</f>
        <v>0.05</v>
      </c>
      <c r="F31" s="113">
        <f>C30/C31</f>
        <v>0.95238095238095233</v>
      </c>
      <c r="G31" s="113">
        <f>C31/C30</f>
        <v>1.05</v>
      </c>
      <c r="H31" s="105"/>
      <c r="I31" s="105"/>
      <c r="J31" s="105"/>
      <c r="K31" s="105"/>
      <c r="L31" s="105"/>
    </row>
    <row r="32" spans="2:12" ht="18.75" x14ac:dyDescent="0.3">
      <c r="B32" s="61">
        <v>2</v>
      </c>
      <c r="C32" s="117">
        <f t="shared" ref="C32:C35" si="4">C31+C31*$C$15</f>
        <v>1102.5</v>
      </c>
      <c r="D32" s="117">
        <f t="shared" ref="D32:D35" si="5">C32-C31</f>
        <v>52.5</v>
      </c>
      <c r="E32" s="60">
        <f t="shared" ref="E32:E35" si="6">D32/C31</f>
        <v>0.05</v>
      </c>
      <c r="F32" s="113">
        <f t="shared" ref="F32:F35" si="7">C31/C32</f>
        <v>0.95238095238095233</v>
      </c>
      <c r="G32" s="113">
        <f t="shared" ref="G32:G35" si="8">C32/C31</f>
        <v>1.05</v>
      </c>
      <c r="H32" s="105"/>
      <c r="I32" s="105"/>
      <c r="J32" s="105"/>
      <c r="K32" s="105"/>
      <c r="L32" s="105"/>
    </row>
    <row r="33" spans="2:12" ht="18.75" x14ac:dyDescent="0.3">
      <c r="B33" s="61">
        <v>3</v>
      </c>
      <c r="C33" s="117">
        <f t="shared" si="4"/>
        <v>1157.625</v>
      </c>
      <c r="D33" s="117">
        <f t="shared" si="5"/>
        <v>55.125</v>
      </c>
      <c r="E33" s="60">
        <f t="shared" si="6"/>
        <v>0.05</v>
      </c>
      <c r="F33" s="113">
        <f t="shared" si="7"/>
        <v>0.95238095238095233</v>
      </c>
      <c r="G33" s="113">
        <f t="shared" si="8"/>
        <v>1.05</v>
      </c>
      <c r="H33" s="105"/>
      <c r="I33" s="105"/>
      <c r="J33" s="105"/>
      <c r="K33" s="105"/>
      <c r="L33" s="105"/>
    </row>
    <row r="34" spans="2:12" ht="18.75" x14ac:dyDescent="0.3">
      <c r="B34" s="61">
        <v>4</v>
      </c>
      <c r="C34" s="117">
        <f t="shared" si="4"/>
        <v>1215.5062499999999</v>
      </c>
      <c r="D34" s="117">
        <f t="shared" si="5"/>
        <v>57.881249999999909</v>
      </c>
      <c r="E34" s="60">
        <f t="shared" si="6"/>
        <v>4.999999999999992E-2</v>
      </c>
      <c r="F34" s="113">
        <f t="shared" si="7"/>
        <v>0.95238095238095244</v>
      </c>
      <c r="G34" s="113">
        <f t="shared" si="8"/>
        <v>1.0499999999999998</v>
      </c>
      <c r="H34" s="105"/>
      <c r="I34" s="105"/>
      <c r="J34" s="105"/>
      <c r="K34" s="105"/>
      <c r="L34" s="105"/>
    </row>
    <row r="35" spans="2:12" ht="18.75" x14ac:dyDescent="0.3">
      <c r="B35" s="61">
        <v>5</v>
      </c>
      <c r="C35" s="117">
        <f t="shared" si="4"/>
        <v>1276.2815624999998</v>
      </c>
      <c r="D35" s="117">
        <f t="shared" si="5"/>
        <v>60.775312499999927</v>
      </c>
      <c r="E35" s="60">
        <f t="shared" si="6"/>
        <v>4.9999999999999947E-2</v>
      </c>
      <c r="F35" s="113">
        <f t="shared" si="7"/>
        <v>0.95238095238095244</v>
      </c>
      <c r="G35" s="113">
        <f t="shared" si="8"/>
        <v>1.05</v>
      </c>
      <c r="H35" s="105"/>
      <c r="I35" s="105"/>
      <c r="J35" s="105"/>
      <c r="K35" s="105"/>
      <c r="L35" s="105"/>
    </row>
    <row r="36" spans="2:12" ht="18.75" x14ac:dyDescent="0.3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 ht="18.75" x14ac:dyDescent="0.3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  <row r="38" spans="2:12" ht="18.75" x14ac:dyDescent="0.3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</row>
    <row r="39" spans="2:12" ht="18.75" x14ac:dyDescent="0.3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</row>
  </sheetData>
  <mergeCells count="3">
    <mergeCell ref="B2:K13"/>
    <mergeCell ref="B17:G17"/>
    <mergeCell ref="B28:G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zoomScaleNormal="100" workbookViewId="0">
      <selection activeCell="C30" sqref="C30:M31"/>
    </sheetView>
  </sheetViews>
  <sheetFormatPr defaultColWidth="9.140625" defaultRowHeight="21" x14ac:dyDescent="0.35"/>
  <cols>
    <col min="1" max="2" width="9.140625" style="31"/>
    <col min="3" max="3" width="15" style="31" bestFit="1" customWidth="1"/>
    <col min="4" max="4" width="18" style="31" bestFit="1" customWidth="1"/>
    <col min="5" max="16384" width="9.140625" style="31"/>
  </cols>
  <sheetData>
    <row r="2" spans="2:13" ht="15" customHeight="1" x14ac:dyDescent="0.35">
      <c r="B2" s="149" t="s">
        <v>185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2:13" ht="15" customHeight="1" x14ac:dyDescent="0.3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2:13" ht="15" customHeight="1" x14ac:dyDescent="0.3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2:13" ht="15" customHeight="1" x14ac:dyDescent="0.3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2:13" ht="15" customHeight="1" x14ac:dyDescent="0.3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2:13" ht="15" customHeight="1" x14ac:dyDescent="0.3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2:13" ht="15" customHeight="1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9" spans="2:13" ht="15" customHeight="1" x14ac:dyDescent="0.3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</row>
    <row r="10" spans="2:13" ht="15" customHeight="1" x14ac:dyDescent="0.3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2:13" ht="15" customHeight="1" x14ac:dyDescent="0.35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</row>
    <row r="12" spans="2:13" ht="15" customHeight="1" x14ac:dyDescent="0.3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2:13" x14ac:dyDescent="0.3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</row>
    <row r="14" spans="2:13" x14ac:dyDescent="0.3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6" spans="2:13" x14ac:dyDescent="0.35">
      <c r="C16" s="37" t="s">
        <v>172</v>
      </c>
      <c r="D16" s="125">
        <v>15000</v>
      </c>
    </row>
    <row r="17" spans="3:13" x14ac:dyDescent="0.35">
      <c r="C17" s="37" t="s">
        <v>68</v>
      </c>
      <c r="D17" s="125">
        <v>5000</v>
      </c>
    </row>
    <row r="18" spans="3:13" x14ac:dyDescent="0.35">
      <c r="C18" s="37" t="s">
        <v>81</v>
      </c>
      <c r="D18" s="131">
        <v>0.04</v>
      </c>
    </row>
    <row r="19" spans="3:13" x14ac:dyDescent="0.35">
      <c r="C19" s="37" t="s">
        <v>80</v>
      </c>
      <c r="D19" s="131">
        <v>0.05</v>
      </c>
    </row>
    <row r="21" spans="3:13" x14ac:dyDescent="0.35">
      <c r="C21" s="31" t="s">
        <v>186</v>
      </c>
      <c r="D21" s="135">
        <f>D16+D17</f>
        <v>20000</v>
      </c>
    </row>
    <row r="22" spans="3:13" x14ac:dyDescent="0.35">
      <c r="C22" s="31" t="s">
        <v>187</v>
      </c>
      <c r="D22" s="31">
        <f>LN(D21/D16)/LN(1+D18)</f>
        <v>7.3349526136220309</v>
      </c>
    </row>
    <row r="23" spans="3:13" ht="24" x14ac:dyDescent="0.45">
      <c r="C23" s="31" t="s">
        <v>188</v>
      </c>
      <c r="D23" s="31">
        <f>(D21/D16-1)/D19</f>
        <v>6.6666666666666652</v>
      </c>
    </row>
    <row r="25" spans="3:13" x14ac:dyDescent="0.35">
      <c r="C25" s="151" t="s">
        <v>189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3:13" x14ac:dyDescent="0.35"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</sheetData>
  <mergeCells count="2">
    <mergeCell ref="B2:M14"/>
    <mergeCell ref="C25:M26"/>
  </mergeCells>
  <pageMargins left="0.7" right="0.7" top="0.75" bottom="0.75" header="0.3" footer="0.3"/>
  <pageSetup paperSize="9" scale="6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:M40"/>
  <sheetViews>
    <sheetView workbookViewId="0">
      <selection activeCell="I34" sqref="I34"/>
    </sheetView>
  </sheetViews>
  <sheetFormatPr defaultRowHeight="15" x14ac:dyDescent="0.25"/>
  <cols>
    <col min="2" max="2" width="21.85546875" customWidth="1"/>
    <col min="3" max="3" width="16.85546875" bestFit="1" customWidth="1"/>
  </cols>
  <sheetData>
    <row r="2" spans="2:13" x14ac:dyDescent="0.25">
      <c r="B2" s="183" t="s">
        <v>157</v>
      </c>
      <c r="C2" s="183"/>
      <c r="D2" s="183"/>
      <c r="E2" s="183"/>
      <c r="F2" s="183"/>
      <c r="G2" s="183"/>
      <c r="H2" s="183"/>
      <c r="I2" s="183"/>
      <c r="J2" s="183"/>
      <c r="K2" s="183"/>
    </row>
    <row r="3" spans="2:13" x14ac:dyDescent="0.25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3" x14ac:dyDescent="0.25"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2:13" x14ac:dyDescent="0.25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3" x14ac:dyDescent="0.25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3" x14ac:dyDescent="0.25"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2:13" x14ac:dyDescent="0.25">
      <c r="B8" s="183"/>
      <c r="C8" s="183"/>
      <c r="D8" s="183"/>
      <c r="E8" s="183"/>
      <c r="F8" s="183"/>
      <c r="G8" s="183"/>
      <c r="H8" s="183"/>
      <c r="I8" s="183"/>
      <c r="J8" s="183"/>
      <c r="K8" s="183"/>
    </row>
    <row r="9" spans="2:13" x14ac:dyDescent="0.25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3" x14ac:dyDescent="0.25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3" x14ac:dyDescent="0.25">
      <c r="B11" s="183"/>
      <c r="C11" s="183"/>
      <c r="D11" s="183"/>
      <c r="E11" s="183"/>
      <c r="F11" s="183"/>
      <c r="G11" s="183"/>
      <c r="H11" s="183"/>
      <c r="I11" s="183"/>
      <c r="J11" s="183"/>
      <c r="K11" s="183"/>
    </row>
    <row r="12" spans="2:13" x14ac:dyDescent="0.25">
      <c r="B12" s="183"/>
      <c r="C12" s="183"/>
      <c r="D12" s="183"/>
      <c r="E12" s="183"/>
      <c r="F12" s="183"/>
      <c r="G12" s="183"/>
      <c r="H12" s="183"/>
      <c r="I12" s="183"/>
      <c r="J12" s="183"/>
      <c r="K12" s="183"/>
    </row>
    <row r="13" spans="2:13" x14ac:dyDescent="0.25">
      <c r="B13" s="183"/>
      <c r="C13" s="183"/>
      <c r="D13" s="183"/>
      <c r="E13" s="183"/>
      <c r="F13" s="183"/>
      <c r="G13" s="183"/>
      <c r="H13" s="183"/>
      <c r="I13" s="183"/>
      <c r="J13" s="183"/>
      <c r="K13" s="183"/>
    </row>
    <row r="15" spans="2:13" ht="18.75" x14ac:dyDescent="0.3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2:13" ht="18.75" x14ac:dyDescent="0.3">
      <c r="B16" s="106" t="s">
        <v>158</v>
      </c>
      <c r="C16" s="120">
        <v>42649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ht="18.75" x14ac:dyDescent="0.3">
      <c r="B17" s="106" t="s">
        <v>159</v>
      </c>
      <c r="C17" s="120">
        <v>42743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ht="18.75" x14ac:dyDescent="0.3">
      <c r="B18" s="106" t="s">
        <v>160</v>
      </c>
      <c r="C18" s="121">
        <v>99.254000000000005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8.75" x14ac:dyDescent="0.3">
      <c r="B19" s="106" t="s">
        <v>161</v>
      </c>
      <c r="C19" s="121">
        <v>100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 ht="18.75" x14ac:dyDescent="0.3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8.75" x14ac:dyDescent="0.3">
      <c r="B21" s="105" t="s">
        <v>162</v>
      </c>
      <c r="C21" s="105">
        <f>C17-C16</f>
        <v>94</v>
      </c>
      <c r="D21" s="105" t="s">
        <v>13</v>
      </c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8.75" x14ac:dyDescent="0.3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18.75" x14ac:dyDescent="0.3">
      <c r="A23" s="185" t="s">
        <v>53</v>
      </c>
      <c r="B23" s="119">
        <f>C16</f>
        <v>42649</v>
      </c>
      <c r="C23" s="119">
        <f>C17</f>
        <v>42743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ht="18.75" x14ac:dyDescent="0.3">
      <c r="A24" s="185"/>
      <c r="B24" s="122">
        <f>-C18</f>
        <v>-99.254000000000005</v>
      </c>
      <c r="C24" s="122">
        <f>C19</f>
        <v>100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8.75" x14ac:dyDescent="0.3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 ht="18.75" x14ac:dyDescent="0.3">
      <c r="A26" s="180" t="s">
        <v>54</v>
      </c>
      <c r="B26" s="88" t="s">
        <v>68</v>
      </c>
      <c r="C26" s="123">
        <f>C19-C18</f>
        <v>0.74599999999999511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ht="18.75" x14ac:dyDescent="0.3">
      <c r="A27" s="181"/>
      <c r="B27" s="88" t="s">
        <v>75</v>
      </c>
      <c r="C27" s="60">
        <f>C26/C18</f>
        <v>7.5160698813145571E-3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8.75" x14ac:dyDescent="0.3">
      <c r="A28" s="181"/>
      <c r="B28" s="88" t="s">
        <v>163</v>
      </c>
      <c r="C28" s="113">
        <f>C18/C19</f>
        <v>0.99254000000000009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18.75" x14ac:dyDescent="0.3">
      <c r="A29" s="182"/>
      <c r="B29" s="88" t="s">
        <v>70</v>
      </c>
      <c r="C29" s="113">
        <f>C19/C18</f>
        <v>1.0075160698813146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ht="18.75" x14ac:dyDescent="0.3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</row>
    <row r="31" spans="1:13" ht="18.75" x14ac:dyDescent="0.3">
      <c r="A31" s="180" t="s">
        <v>55</v>
      </c>
      <c r="B31" s="88" t="s">
        <v>164</v>
      </c>
      <c r="C31" s="60">
        <f>(C19/C18-1)/C21</f>
        <v>7.9958190226750973E-5</v>
      </c>
      <c r="D31" s="186" t="s">
        <v>167</v>
      </c>
      <c r="E31" s="187"/>
      <c r="F31" s="105"/>
      <c r="G31" s="105"/>
      <c r="H31" s="105"/>
      <c r="I31" s="105"/>
      <c r="J31" s="105"/>
      <c r="K31" s="105"/>
      <c r="L31" s="105"/>
      <c r="M31" s="105"/>
    </row>
    <row r="32" spans="1:13" ht="18.75" x14ac:dyDescent="0.3">
      <c r="A32" s="181"/>
      <c r="B32" s="88" t="s">
        <v>165</v>
      </c>
      <c r="C32" s="60">
        <f>(C19/C18-1)*(30/C21)</f>
        <v>2.3987457068025291E-3</v>
      </c>
      <c r="D32" s="187"/>
      <c r="E32" s="187"/>
      <c r="F32" s="105"/>
      <c r="G32" s="105"/>
      <c r="H32" s="105"/>
      <c r="I32" s="105"/>
      <c r="J32" s="105"/>
      <c r="K32" s="105"/>
      <c r="L32" s="105"/>
      <c r="M32" s="105"/>
    </row>
    <row r="33" spans="1:13" ht="18.75" x14ac:dyDescent="0.3">
      <c r="A33" s="182"/>
      <c r="B33" s="88" t="s">
        <v>98</v>
      </c>
      <c r="C33" s="60">
        <f>(C19/C18-1)*(365/C21)</f>
        <v>2.9184739432764104E-2</v>
      </c>
      <c r="D33" s="187"/>
      <c r="E33" s="187"/>
      <c r="F33" s="105"/>
      <c r="G33" s="105"/>
      <c r="H33" s="105"/>
      <c r="I33" s="105"/>
      <c r="J33" s="105"/>
      <c r="K33" s="105"/>
      <c r="L33" s="105"/>
      <c r="M33" s="105"/>
    </row>
    <row r="34" spans="1:13" ht="18.75" x14ac:dyDescent="0.3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ht="18.75" x14ac:dyDescent="0.3">
      <c r="A35" s="180" t="s">
        <v>56</v>
      </c>
      <c r="B35" s="88" t="s">
        <v>164</v>
      </c>
      <c r="C35" s="60">
        <f>C27*1/C21</f>
        <v>7.9958190226750607E-5</v>
      </c>
      <c r="D35" s="188" t="s">
        <v>168</v>
      </c>
      <c r="E35" s="185"/>
      <c r="F35" s="105"/>
      <c r="G35" s="105"/>
      <c r="H35" s="105"/>
      <c r="I35" s="105"/>
      <c r="J35" s="105"/>
      <c r="K35" s="105"/>
      <c r="L35" s="105"/>
      <c r="M35" s="105"/>
    </row>
    <row r="36" spans="1:13" ht="18.75" x14ac:dyDescent="0.3">
      <c r="A36" s="181"/>
      <c r="B36" s="88" t="s">
        <v>165</v>
      </c>
      <c r="C36" s="60">
        <f>C27*30/C21</f>
        <v>2.3987457068025183E-3</v>
      </c>
      <c r="D36" s="185"/>
      <c r="E36" s="185"/>
      <c r="F36" s="105"/>
      <c r="G36" s="105"/>
      <c r="H36" s="105"/>
      <c r="I36" s="105"/>
      <c r="J36" s="105"/>
      <c r="K36" s="105"/>
      <c r="L36" s="105"/>
      <c r="M36" s="105"/>
    </row>
    <row r="37" spans="1:13" ht="18.75" x14ac:dyDescent="0.3">
      <c r="A37" s="182"/>
      <c r="B37" s="88" t="s">
        <v>98</v>
      </c>
      <c r="C37" s="60">
        <f>C27*365/C21</f>
        <v>2.9184739432763972E-2</v>
      </c>
      <c r="D37" s="185"/>
      <c r="E37" s="185"/>
      <c r="F37" s="105"/>
      <c r="G37" s="105"/>
      <c r="H37" s="105"/>
      <c r="I37" s="105"/>
      <c r="J37" s="105"/>
      <c r="K37" s="105"/>
      <c r="L37" s="105"/>
      <c r="M37" s="105"/>
    </row>
    <row r="38" spans="1:13" ht="18.75" x14ac:dyDescent="0.3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8.75" x14ac:dyDescent="0.3">
      <c r="A39" s="185" t="s">
        <v>166</v>
      </c>
      <c r="B39" s="88" t="s">
        <v>165</v>
      </c>
      <c r="C39" s="60">
        <f>(1+C27)^(30/C21)-1</f>
        <v>2.3926338437794126E-3</v>
      </c>
      <c r="D39" s="185" t="s">
        <v>130</v>
      </c>
      <c r="E39" s="185"/>
    </row>
    <row r="40" spans="1:13" ht="18.75" x14ac:dyDescent="0.3">
      <c r="A40" s="185"/>
      <c r="B40" s="88" t="s">
        <v>98</v>
      </c>
      <c r="C40" s="60">
        <f>(1+C27)^(365/C21)-1</f>
        <v>2.9502430815538272E-2</v>
      </c>
      <c r="D40" s="185"/>
      <c r="E40" s="185"/>
    </row>
  </sheetData>
  <mergeCells count="9">
    <mergeCell ref="A39:A40"/>
    <mergeCell ref="D31:E33"/>
    <mergeCell ref="D35:E37"/>
    <mergeCell ref="D39:E40"/>
    <mergeCell ref="B2:K13"/>
    <mergeCell ref="A23:A24"/>
    <mergeCell ref="A26:A29"/>
    <mergeCell ref="A31:A33"/>
    <mergeCell ref="A35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topLeftCell="A4" zoomScaleNormal="100" workbookViewId="0">
      <selection activeCell="C30" sqref="C30:M31"/>
    </sheetView>
  </sheetViews>
  <sheetFormatPr defaultColWidth="9.140625" defaultRowHeight="21" x14ac:dyDescent="0.35"/>
  <cols>
    <col min="1" max="2" width="9.140625" style="31"/>
    <col min="3" max="3" width="17.42578125" style="31" customWidth="1"/>
    <col min="4" max="4" width="10.42578125" style="31" bestFit="1" customWidth="1"/>
    <col min="5" max="16384" width="9.140625" style="31"/>
  </cols>
  <sheetData>
    <row r="2" spans="2:14" ht="21" customHeight="1" x14ac:dyDescent="0.35">
      <c r="B2" s="149" t="s">
        <v>190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2:14" x14ac:dyDescent="0.3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14" x14ac:dyDescent="0.3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2:14" x14ac:dyDescent="0.3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2:14" x14ac:dyDescent="0.3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2:14" x14ac:dyDescent="0.3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2:14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2:14" x14ac:dyDescent="0.3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2:14" x14ac:dyDescent="0.3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2:14" x14ac:dyDescent="0.35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2:14" x14ac:dyDescent="0.3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2:14" x14ac:dyDescent="0.3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2:14" x14ac:dyDescent="0.35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2:14" x14ac:dyDescent="0.35">
      <c r="B15" s="136"/>
      <c r="C15" s="137" t="s">
        <v>191</v>
      </c>
      <c r="D15" s="138">
        <v>0.03</v>
      </c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2:14" x14ac:dyDescent="0.35">
      <c r="B16" s="136"/>
      <c r="C16" s="137" t="s">
        <v>192</v>
      </c>
      <c r="D16" s="138">
        <v>0.04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2:14" x14ac:dyDescent="0.35">
      <c r="B17" s="136"/>
      <c r="C17" s="137" t="s">
        <v>172</v>
      </c>
      <c r="D17" s="139">
        <v>1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2:14" x14ac:dyDescent="0.35">
      <c r="B18" s="136"/>
      <c r="C18" s="137" t="s">
        <v>96</v>
      </c>
      <c r="D18" s="139">
        <f>1+1/4</f>
        <v>1.25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20" spans="2:14" x14ac:dyDescent="0.35">
      <c r="C20" s="68" t="s">
        <v>193</v>
      </c>
      <c r="D20" s="68">
        <f>LN(D18/D17)/LN(1+D15)</f>
        <v>7.5491405061259567</v>
      </c>
    </row>
    <row r="21" spans="2:14" x14ac:dyDescent="0.35">
      <c r="C21" s="68" t="s">
        <v>194</v>
      </c>
      <c r="D21" s="140">
        <f>1/4</f>
        <v>0.25</v>
      </c>
    </row>
    <row r="23" spans="2:14" x14ac:dyDescent="0.35">
      <c r="C23" s="68" t="s">
        <v>195</v>
      </c>
      <c r="D23" s="141">
        <f>(D18/D17-1)/D16</f>
        <v>6.25</v>
      </c>
    </row>
    <row r="24" spans="2:14" x14ac:dyDescent="0.35">
      <c r="C24" s="68" t="s">
        <v>196</v>
      </c>
      <c r="D24" s="142">
        <f>1/4</f>
        <v>0.25</v>
      </c>
    </row>
    <row r="26" spans="2:14" x14ac:dyDescent="0.35">
      <c r="C26" s="151" t="s">
        <v>197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2:14" x14ac:dyDescent="0.35"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</sheetData>
  <mergeCells count="2">
    <mergeCell ref="B2:N13"/>
    <mergeCell ref="C26:N27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Normal="100" workbookViewId="0">
      <selection activeCell="C30" sqref="C30:M31"/>
    </sheetView>
  </sheetViews>
  <sheetFormatPr defaultColWidth="9.140625" defaultRowHeight="21" x14ac:dyDescent="0.35"/>
  <cols>
    <col min="1" max="2" width="9.140625" style="31"/>
    <col min="3" max="3" width="15.28515625" style="31" customWidth="1"/>
    <col min="4" max="4" width="19.28515625" style="31" bestFit="1" customWidth="1"/>
    <col min="5" max="5" width="23.140625" style="31" bestFit="1" customWidth="1"/>
    <col min="6" max="6" width="9.140625" style="31"/>
    <col min="7" max="7" width="12.42578125" style="31" bestFit="1" customWidth="1"/>
    <col min="8" max="16384" width="9.140625" style="31"/>
  </cols>
  <sheetData>
    <row r="2" spans="1:14" ht="21" customHeight="1" x14ac:dyDescent="0.35">
      <c r="B2" s="149" t="s">
        <v>198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x14ac:dyDescent="0.3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3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3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3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3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3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3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35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35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x14ac:dyDescent="0.35">
      <c r="A13" s="143"/>
      <c r="B13" s="144"/>
      <c r="C13" s="137" t="s">
        <v>172</v>
      </c>
      <c r="D13" s="139">
        <v>120000</v>
      </c>
      <c r="E13" s="145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x14ac:dyDescent="0.35">
      <c r="A14" s="143"/>
      <c r="B14" s="144"/>
      <c r="C14" s="137" t="s">
        <v>199</v>
      </c>
      <c r="D14" s="139">
        <v>150000</v>
      </c>
      <c r="E14" s="145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14" x14ac:dyDescent="0.35">
      <c r="A15" s="143"/>
      <c r="B15" s="144"/>
      <c r="C15" s="137" t="s">
        <v>81</v>
      </c>
      <c r="D15" s="146">
        <v>3.6999999999999998E-2</v>
      </c>
      <c r="E15" s="145"/>
      <c r="F15" s="144"/>
      <c r="G15" s="144"/>
      <c r="H15" s="144"/>
      <c r="I15" s="144"/>
      <c r="J15" s="144"/>
      <c r="K15" s="144"/>
      <c r="L15" s="144"/>
      <c r="M15" s="144"/>
      <c r="N15" s="144"/>
    </row>
    <row r="16" spans="1:14" ht="20.100000000000001" customHeight="1" x14ac:dyDescent="0.35">
      <c r="A16" s="143"/>
      <c r="B16" s="144"/>
      <c r="C16" s="137" t="s">
        <v>80</v>
      </c>
      <c r="D16" s="138">
        <v>0.1</v>
      </c>
      <c r="E16" s="145" t="s">
        <v>200</v>
      </c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x14ac:dyDescent="0.35">
      <c r="A17" s="143"/>
      <c r="B17" s="143"/>
      <c r="C17" s="37" t="s">
        <v>81</v>
      </c>
      <c r="D17" s="129">
        <v>3.6999999999999998E-2</v>
      </c>
      <c r="E17" s="68" t="s">
        <v>201</v>
      </c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x14ac:dyDescent="0.3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x14ac:dyDescent="0.3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1:14" ht="24" x14ac:dyDescent="0.45">
      <c r="A20" s="143"/>
      <c r="B20" s="143"/>
      <c r="C20" s="68" t="s">
        <v>202</v>
      </c>
      <c r="D20" s="141">
        <f>LN(D14/D13)/LN(1+D15)</f>
        <v>6.1418029798194276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ht="24" x14ac:dyDescent="0.45">
      <c r="C21" s="68" t="s">
        <v>203</v>
      </c>
      <c r="D21" s="141">
        <f>LN(D14*(1+D17)/(D13*(1+D16)))/LN(1+D17)</f>
        <v>4.518485644939088</v>
      </c>
      <c r="G21" s="135"/>
    </row>
    <row r="22" spans="1:14" x14ac:dyDescent="0.35">
      <c r="G22" s="135"/>
    </row>
    <row r="23" spans="1:14" x14ac:dyDescent="0.35">
      <c r="G23" s="147"/>
    </row>
  </sheetData>
  <mergeCells count="1">
    <mergeCell ref="B2:N11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zoomScaleNormal="100" workbookViewId="0">
      <selection activeCell="C30" sqref="C30:M31"/>
    </sheetView>
  </sheetViews>
  <sheetFormatPr defaultRowHeight="15" x14ac:dyDescent="0.25"/>
  <cols>
    <col min="3" max="3" width="15" bestFit="1" customWidth="1"/>
    <col min="4" max="4" width="19.5703125" bestFit="1" customWidth="1"/>
  </cols>
  <sheetData>
    <row r="2" spans="2:15" ht="15" customHeight="1" x14ac:dyDescent="0.25">
      <c r="B2" s="149" t="s">
        <v>204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2:15" ht="15" customHeight="1" x14ac:dyDescent="0.2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2:15" ht="15" customHeight="1" x14ac:dyDescent="0.25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2:15" ht="15" customHeight="1" x14ac:dyDescent="0.2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2:15" ht="15" customHeight="1" x14ac:dyDescent="0.25"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2:15" ht="15" customHeight="1" x14ac:dyDescent="0.25"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2:15" ht="15" customHeight="1" x14ac:dyDescent="0.2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2:15" ht="15" customHeight="1" x14ac:dyDescent="0.25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2:15" ht="15" customHeight="1" x14ac:dyDescent="0.25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2:15" ht="15" customHeight="1" x14ac:dyDescent="0.25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2:15" ht="15" customHeight="1" x14ac:dyDescent="0.25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2:15" ht="15" customHeight="1" x14ac:dyDescent="0.2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2:15" ht="15" customHeight="1" x14ac:dyDescent="0.25"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2:15" ht="15" customHeight="1" x14ac:dyDescent="0.25"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2:15" ht="15" customHeight="1" x14ac:dyDescent="0.25"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2:15" x14ac:dyDescent="0.25"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2:15" x14ac:dyDescent="0.25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20" spans="2:15" ht="21" x14ac:dyDescent="0.3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ht="21" x14ac:dyDescent="0.35">
      <c r="B21" s="31"/>
      <c r="C21" s="37" t="s">
        <v>205</v>
      </c>
      <c r="D21" s="125">
        <v>100000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ht="21" x14ac:dyDescent="0.35">
      <c r="B22" s="31"/>
      <c r="C22" s="37" t="s">
        <v>187</v>
      </c>
      <c r="D22" s="36">
        <v>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ht="21" x14ac:dyDescent="0.35">
      <c r="B23" s="31"/>
      <c r="C23" s="37" t="s">
        <v>80</v>
      </c>
      <c r="D23" s="129">
        <v>9.5000000000000001E-2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ht="21" x14ac:dyDescent="0.35">
      <c r="B24" s="31"/>
      <c r="C24" s="37" t="s">
        <v>81</v>
      </c>
      <c r="D24" s="129">
        <v>0.09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ht="21" x14ac:dyDescent="0.3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ht="21" x14ac:dyDescent="0.35">
      <c r="B26" s="31"/>
      <c r="C26" s="31" t="s">
        <v>96</v>
      </c>
      <c r="D26" s="133">
        <f>D21*(1+D23*D22)</f>
        <v>138000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ht="21" x14ac:dyDescent="0.35">
      <c r="B27" s="31"/>
      <c r="C27" s="31" t="s">
        <v>81</v>
      </c>
      <c r="D27" s="148">
        <f>(D26/D21)^(1/D22)-1</f>
        <v>8.3851471580434378E-2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21" x14ac:dyDescent="0.35">
      <c r="B28" s="31"/>
      <c r="C28" s="31"/>
      <c r="D28" s="14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ht="21" x14ac:dyDescent="0.35">
      <c r="B29" s="31"/>
      <c r="C29" s="149" t="s">
        <v>206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31"/>
    </row>
    <row r="30" spans="2:15" ht="21" x14ac:dyDescent="0.35">
      <c r="B30" s="31"/>
      <c r="C30" s="31"/>
      <c r="D30" s="148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ht="21" x14ac:dyDescent="0.35">
      <c r="B31" s="31"/>
      <c r="C31" s="31" t="s">
        <v>68</v>
      </c>
      <c r="D31" s="133">
        <f>D21*((1+D24)^D22-1)</f>
        <v>41158.161000000029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ht="21" x14ac:dyDescent="0.3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x14ac:dyDescent="0.3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x14ac:dyDescent="0.3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ht="21" x14ac:dyDescent="0.3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ht="21" x14ac:dyDescent="0.3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ht="21" x14ac:dyDescent="0.3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ht="21" x14ac:dyDescent="0.3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ht="21" x14ac:dyDescent="0.3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ht="21" x14ac:dyDescent="0.3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ht="21" x14ac:dyDescent="0.3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ht="21" x14ac:dyDescent="0.3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ht="21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" x14ac:dyDescent="0.3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ht="21" x14ac:dyDescent="0.3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21" x14ac:dyDescent="0.3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ht="21" x14ac:dyDescent="0.3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ht="21" x14ac:dyDescent="0.3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ht="21" x14ac:dyDescent="0.3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ht="21" x14ac:dyDescent="0.3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ht="21" x14ac:dyDescent="0.3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ht="21" x14ac:dyDescent="0.3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ht="21" x14ac:dyDescent="0.3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ht="21" x14ac:dyDescent="0.3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ht="21" x14ac:dyDescent="0.3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ht="21" x14ac:dyDescent="0.3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</sheetData>
  <mergeCells count="2">
    <mergeCell ref="B2:O18"/>
    <mergeCell ref="C29:N29"/>
  </mergeCells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M33"/>
  <sheetViews>
    <sheetView topLeftCell="A7" workbookViewId="0">
      <selection activeCell="D32" sqref="D32"/>
    </sheetView>
  </sheetViews>
  <sheetFormatPr defaultColWidth="9.140625" defaultRowHeight="18.75" x14ac:dyDescent="0.3"/>
  <cols>
    <col min="1" max="1" width="9.140625" style="8"/>
    <col min="2" max="2" width="6.85546875" style="8" customWidth="1"/>
    <col min="3" max="3" width="40.85546875" style="8" bestFit="1" customWidth="1"/>
    <col min="4" max="4" width="12.85546875" style="8" bestFit="1" customWidth="1"/>
    <col min="5" max="5" width="11.140625" style="9" bestFit="1" customWidth="1"/>
    <col min="6" max="6" width="7.85546875" style="8" bestFit="1" customWidth="1"/>
    <col min="7" max="7" width="68.5703125" style="8" bestFit="1" customWidth="1"/>
    <col min="8" max="8" width="11.85546875" style="8" bestFit="1" customWidth="1"/>
    <col min="9" max="9" width="11.5703125" style="8" bestFit="1" customWidth="1"/>
    <col min="10" max="10" width="7" style="8" bestFit="1" customWidth="1"/>
    <col min="11" max="11" width="42.85546875" style="8" bestFit="1" customWidth="1"/>
    <col min="12" max="12" width="26.28515625" style="8" bestFit="1" customWidth="1"/>
    <col min="13" max="13" width="17.42578125" style="8" bestFit="1" customWidth="1"/>
    <col min="14" max="16384" width="9.140625" style="8"/>
  </cols>
  <sheetData>
    <row r="12" spans="3:13" ht="8.25" customHeight="1" x14ac:dyDescent="0.3"/>
    <row r="13" spans="3:13" x14ac:dyDescent="0.3">
      <c r="C13" s="1"/>
      <c r="D13" s="10"/>
      <c r="E13" s="7"/>
      <c r="F13" s="4"/>
      <c r="G13" s="4"/>
      <c r="H13" s="4"/>
      <c r="I13" s="11"/>
      <c r="J13" s="1"/>
      <c r="K13" s="1"/>
      <c r="L13" s="1"/>
      <c r="M13" s="1"/>
    </row>
    <row r="14" spans="3:13" x14ac:dyDescent="0.3">
      <c r="C14" s="1"/>
      <c r="D14" s="12"/>
      <c r="E14" s="13"/>
      <c r="F14" s="4"/>
      <c r="G14" s="14"/>
      <c r="H14" s="4"/>
      <c r="I14" s="1"/>
      <c r="J14" s="1"/>
      <c r="K14" s="1"/>
      <c r="L14" s="1"/>
      <c r="M14" s="1"/>
    </row>
    <row r="15" spans="3:13" x14ac:dyDescent="0.3">
      <c r="C15" s="25" t="s">
        <v>11</v>
      </c>
      <c r="D15" s="26"/>
      <c r="E15" s="26"/>
      <c r="G15" s="15"/>
      <c r="J15" s="1"/>
      <c r="K15" s="1"/>
      <c r="L15" s="1"/>
      <c r="M15" s="1"/>
    </row>
    <row r="16" spans="3:13" x14ac:dyDescent="0.3">
      <c r="C16" s="29" t="s">
        <v>47</v>
      </c>
      <c r="D16" s="38">
        <v>150</v>
      </c>
      <c r="E16" s="28"/>
    </row>
    <row r="17" spans="2:5" x14ac:dyDescent="0.3">
      <c r="C17" s="29" t="s">
        <v>35</v>
      </c>
      <c r="D17" s="28">
        <v>3</v>
      </c>
      <c r="E17" s="30" t="s">
        <v>48</v>
      </c>
    </row>
    <row r="18" spans="2:5" x14ac:dyDescent="0.3">
      <c r="C18" s="29" t="s">
        <v>49</v>
      </c>
      <c r="D18" s="28"/>
      <c r="E18" s="28"/>
    </row>
    <row r="19" spans="2:5" x14ac:dyDescent="0.3">
      <c r="C19" s="29" t="s">
        <v>26</v>
      </c>
      <c r="D19" s="28">
        <f>6%</f>
        <v>0.06</v>
      </c>
      <c r="E19" s="28"/>
    </row>
    <row r="20" spans="2:5" x14ac:dyDescent="0.3">
      <c r="C20" s="29" t="s">
        <v>23</v>
      </c>
      <c r="D20" s="28">
        <f>11.5%</f>
        <v>0.115</v>
      </c>
      <c r="E20" s="28"/>
    </row>
    <row r="21" spans="2:5" x14ac:dyDescent="0.3">
      <c r="C21" s="29" t="s">
        <v>50</v>
      </c>
      <c r="D21" s="28">
        <v>0.12</v>
      </c>
      <c r="E21" s="30" t="s">
        <v>25</v>
      </c>
    </row>
    <row r="22" spans="2:5" x14ac:dyDescent="0.3">
      <c r="C22" s="29" t="s">
        <v>51</v>
      </c>
      <c r="D22" s="28"/>
      <c r="E22" s="28"/>
    </row>
    <row r="23" spans="2:5" x14ac:dyDescent="0.3">
      <c r="C23" s="29" t="s">
        <v>26</v>
      </c>
      <c r="D23" s="28">
        <f>6%</f>
        <v>0.06</v>
      </c>
      <c r="E23" s="28"/>
    </row>
    <row r="24" spans="2:5" x14ac:dyDescent="0.3">
      <c r="C24" s="29" t="s">
        <v>23</v>
      </c>
      <c r="D24" s="28">
        <f>11.5%</f>
        <v>0.115</v>
      </c>
      <c r="E24" s="28"/>
    </row>
    <row r="26" spans="2:5" x14ac:dyDescent="0.3">
      <c r="C26" s="58" t="s">
        <v>133</v>
      </c>
      <c r="D26" s="63"/>
    </row>
    <row r="27" spans="2:5" x14ac:dyDescent="0.3">
      <c r="B27" s="73" t="s">
        <v>57</v>
      </c>
      <c r="C27" s="58" t="s">
        <v>52</v>
      </c>
      <c r="D27" s="65">
        <f>D16*((1+D19)^(D17*2)-1)</f>
        <v>62.777866838400087</v>
      </c>
    </row>
    <row r="28" spans="2:5" x14ac:dyDescent="0.3">
      <c r="B28" s="73" t="s">
        <v>58</v>
      </c>
      <c r="C28" s="58" t="s">
        <v>52</v>
      </c>
      <c r="D28" s="65">
        <f>D16*((1+D20)^D17-1)</f>
        <v>57.929381250000013</v>
      </c>
    </row>
    <row r="29" spans="2:5" x14ac:dyDescent="0.3">
      <c r="B29" s="73" t="s">
        <v>59</v>
      </c>
      <c r="C29" s="58" t="s">
        <v>52</v>
      </c>
      <c r="D29" s="65">
        <f>D16*(EXP(D21*D17)-1)</f>
        <v>64.999412184051025</v>
      </c>
    </row>
    <row r="30" spans="2:5" x14ac:dyDescent="0.3">
      <c r="B30" s="74"/>
    </row>
    <row r="31" spans="2:5" x14ac:dyDescent="0.3">
      <c r="B31" s="74"/>
      <c r="C31" s="58" t="s">
        <v>134</v>
      </c>
      <c r="D31" s="63"/>
    </row>
    <row r="32" spans="2:5" x14ac:dyDescent="0.3">
      <c r="B32" s="73" t="s">
        <v>60</v>
      </c>
      <c r="C32" s="58" t="s">
        <v>52</v>
      </c>
      <c r="D32" s="65">
        <f>D16*D23*D17*2</f>
        <v>54</v>
      </c>
    </row>
    <row r="33" spans="2:4" x14ac:dyDescent="0.3">
      <c r="B33" s="73" t="s">
        <v>61</v>
      </c>
      <c r="C33" s="58" t="s">
        <v>52</v>
      </c>
      <c r="D33" s="65">
        <f>D16*D24*D17</f>
        <v>51.75</v>
      </c>
    </row>
  </sheetData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23"/>
  <sheetViews>
    <sheetView showGridLines="0" topLeftCell="B1" zoomScale="120" zoomScaleNormal="120" workbookViewId="0">
      <selection activeCell="D17" sqref="D17"/>
    </sheetView>
  </sheetViews>
  <sheetFormatPr defaultRowHeight="15" x14ac:dyDescent="0.25"/>
  <cols>
    <col min="1" max="1" width="5.7109375" customWidth="1"/>
    <col min="2" max="2" width="4" customWidth="1"/>
    <col min="3" max="3" width="17.7109375" bestFit="1" customWidth="1"/>
    <col min="4" max="4" width="16.85546875" customWidth="1"/>
    <col min="5" max="5" width="11.140625" bestFit="1" customWidth="1"/>
    <col min="7" max="7" width="14.42578125" bestFit="1" customWidth="1"/>
    <col min="8" max="8" width="25.85546875" bestFit="1" customWidth="1"/>
    <col min="9" max="9" width="26.7109375" customWidth="1"/>
    <col min="10" max="10" width="6.140625" customWidth="1"/>
    <col min="11" max="11" width="6.85546875" customWidth="1"/>
    <col min="12" max="12" width="14.42578125" bestFit="1" customWidth="1"/>
    <col min="14" max="14" width="13.85546875" customWidth="1"/>
    <col min="15" max="15" width="2.5703125" customWidth="1"/>
    <col min="16" max="16" width="5.28515625" customWidth="1"/>
    <col min="17" max="17" width="14.42578125" bestFit="1" customWidth="1"/>
    <col min="19" max="19" width="17" customWidth="1"/>
  </cols>
  <sheetData>
    <row r="9" spans="3:5" ht="18.75" x14ac:dyDescent="0.3">
      <c r="C9" s="25" t="s">
        <v>11</v>
      </c>
      <c r="D9" s="26"/>
      <c r="E9" s="26"/>
    </row>
    <row r="10" spans="3:5" ht="18.75" x14ac:dyDescent="0.3">
      <c r="C10" s="29" t="s">
        <v>14</v>
      </c>
      <c r="D10" s="28">
        <v>120</v>
      </c>
      <c r="E10" s="28"/>
    </row>
    <row r="11" spans="3:5" ht="18.75" x14ac:dyDescent="0.3">
      <c r="C11" s="29" t="s">
        <v>75</v>
      </c>
      <c r="D11" s="28">
        <f>2%</f>
        <v>0.02</v>
      </c>
      <c r="E11" s="30" t="s">
        <v>129</v>
      </c>
    </row>
    <row r="12" spans="3:5" ht="18.75" x14ac:dyDescent="0.3">
      <c r="C12" s="29" t="s">
        <v>99</v>
      </c>
      <c r="D12" s="28">
        <v>3</v>
      </c>
      <c r="E12" s="30" t="s">
        <v>36</v>
      </c>
    </row>
    <row r="13" spans="3:5" ht="18.75" x14ac:dyDescent="0.3">
      <c r="C13" s="29" t="s">
        <v>100</v>
      </c>
      <c r="D13" s="28">
        <v>2</v>
      </c>
      <c r="E13" s="30" t="s">
        <v>48</v>
      </c>
    </row>
    <row r="14" spans="3:5" ht="18.75" x14ac:dyDescent="0.3">
      <c r="C14" s="29" t="s">
        <v>130</v>
      </c>
      <c r="D14" s="28"/>
      <c r="E14" s="28"/>
    </row>
    <row r="16" spans="3:5" ht="18.75" x14ac:dyDescent="0.3">
      <c r="C16" s="152" t="s">
        <v>37</v>
      </c>
      <c r="D16" s="153"/>
    </row>
    <row r="17" spans="3:4" ht="18.75" x14ac:dyDescent="0.3">
      <c r="C17" s="58" t="s">
        <v>132</v>
      </c>
      <c r="D17" s="59">
        <f>D10*(1+D11)^(D12/12)</f>
        <v>120.59555178878446</v>
      </c>
    </row>
    <row r="18" spans="3:4" ht="18.75" x14ac:dyDescent="0.3">
      <c r="C18" s="58" t="s">
        <v>131</v>
      </c>
      <c r="D18" s="59">
        <f>D10*(1+D11)^D13</f>
        <v>124.848</v>
      </c>
    </row>
    <row r="21" spans="3:4" ht="18.75" x14ac:dyDescent="0.3">
      <c r="C21" s="152" t="s">
        <v>29</v>
      </c>
      <c r="D21" s="153"/>
    </row>
    <row r="22" spans="3:4" ht="18.75" x14ac:dyDescent="0.3">
      <c r="C22" s="58" t="s">
        <v>132</v>
      </c>
      <c r="D22" s="59">
        <f>D10*(1+D11*D12/12)</f>
        <v>120.6</v>
      </c>
    </row>
    <row r="23" spans="3:4" ht="18.75" x14ac:dyDescent="0.3">
      <c r="C23" s="58" t="s">
        <v>131</v>
      </c>
      <c r="D23" s="59">
        <f>D10*(1+D11*D13)</f>
        <v>124.80000000000001</v>
      </c>
    </row>
  </sheetData>
  <mergeCells count="2">
    <mergeCell ref="C16:D16"/>
    <mergeCell ref="C21:D21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D48"/>
  <sheetViews>
    <sheetView showGridLines="0" tabSelected="1" topLeftCell="A7" zoomScale="110" zoomScaleNormal="110" workbookViewId="0">
      <selection activeCell="G44" sqref="G44:G48"/>
    </sheetView>
  </sheetViews>
  <sheetFormatPr defaultRowHeight="15" x14ac:dyDescent="0.25"/>
  <cols>
    <col min="1" max="1" width="6.85546875" customWidth="1"/>
    <col min="2" max="2" width="23.140625" bestFit="1" customWidth="1"/>
    <col min="3" max="3" width="12.7109375" customWidth="1"/>
    <col min="4" max="4" width="13" bestFit="1" customWidth="1"/>
    <col min="6" max="6" width="4.5703125" customWidth="1"/>
    <col min="7" max="7" width="44.7109375" bestFit="1" customWidth="1"/>
    <col min="8" max="8" width="26.7109375" bestFit="1" customWidth="1"/>
    <col min="9" max="9" width="23.7109375" bestFit="1" customWidth="1"/>
    <col min="10" max="10" width="24" bestFit="1" customWidth="1"/>
  </cols>
  <sheetData>
    <row r="27" spans="2:4" ht="18.75" x14ac:dyDescent="0.3">
      <c r="B27" s="25" t="s">
        <v>11</v>
      </c>
      <c r="C27" s="26"/>
      <c r="D27" s="26"/>
    </row>
    <row r="28" spans="2:4" ht="18.75" x14ac:dyDescent="0.3">
      <c r="B28" s="29" t="s">
        <v>12</v>
      </c>
      <c r="C28" s="28">
        <v>95</v>
      </c>
      <c r="D28" s="30" t="s">
        <v>13</v>
      </c>
    </row>
    <row r="29" spans="2:4" ht="18.75" x14ac:dyDescent="0.3">
      <c r="B29" s="29" t="s">
        <v>14</v>
      </c>
      <c r="C29" s="28">
        <v>97.8</v>
      </c>
      <c r="D29" s="28"/>
    </row>
    <row r="30" spans="2:4" ht="18.75" x14ac:dyDescent="0.3">
      <c r="B30" s="29" t="s">
        <v>32</v>
      </c>
      <c r="C30" s="28">
        <f>101.5</f>
        <v>101.5</v>
      </c>
      <c r="D30" s="28"/>
    </row>
    <row r="31" spans="2:4" ht="18.75" x14ac:dyDescent="0.3">
      <c r="B31" s="29" t="s">
        <v>16</v>
      </c>
      <c r="C31" s="28">
        <v>365</v>
      </c>
      <c r="D31" s="28"/>
    </row>
    <row r="32" spans="2:4" ht="18.75" x14ac:dyDescent="0.3">
      <c r="B32" s="8"/>
      <c r="C32" s="8"/>
      <c r="D32" s="8"/>
    </row>
    <row r="33" spans="2:4" ht="18.75" x14ac:dyDescent="0.3">
      <c r="B33" s="58" t="s">
        <v>18</v>
      </c>
      <c r="C33" s="65">
        <f>C30-C29</f>
        <v>3.7000000000000028</v>
      </c>
      <c r="D33" s="63"/>
    </row>
    <row r="34" spans="2:4" ht="18.75" x14ac:dyDescent="0.3">
      <c r="B34" s="58" t="s">
        <v>33</v>
      </c>
      <c r="C34" s="66">
        <f>C33/C29</f>
        <v>3.7832310838445835E-2</v>
      </c>
      <c r="D34" s="63"/>
    </row>
    <row r="35" spans="2:4" ht="18.75" x14ac:dyDescent="0.3">
      <c r="B35" s="58" t="s">
        <v>28</v>
      </c>
      <c r="C35" s="66">
        <f>C33/C30</f>
        <v>3.6453201970443376E-2</v>
      </c>
      <c r="D35" s="63"/>
    </row>
    <row r="36" spans="2:4" ht="18.75" x14ac:dyDescent="0.3">
      <c r="B36" s="58" t="s">
        <v>19</v>
      </c>
      <c r="C36" s="63">
        <f>C34/C28</f>
        <v>3.9823485093100878E-4</v>
      </c>
      <c r="D36" s="62" t="s">
        <v>20</v>
      </c>
    </row>
    <row r="37" spans="2:4" ht="18.75" x14ac:dyDescent="0.3">
      <c r="B37" s="58" t="s">
        <v>21</v>
      </c>
      <c r="C37" s="63">
        <f>C35/C28</f>
        <v>3.8371791547835133E-4</v>
      </c>
      <c r="D37" s="62" t="s">
        <v>20</v>
      </c>
    </row>
    <row r="38" spans="2:4" ht="18.75" x14ac:dyDescent="0.3">
      <c r="B38" s="8"/>
      <c r="C38" s="8"/>
      <c r="D38" s="8"/>
    </row>
    <row r="39" spans="2:4" ht="18.75" x14ac:dyDescent="0.3">
      <c r="B39" s="58" t="s">
        <v>22</v>
      </c>
      <c r="C39" s="63"/>
      <c r="D39" s="63"/>
    </row>
    <row r="40" spans="2:4" ht="18.75" x14ac:dyDescent="0.3">
      <c r="B40" s="58" t="s">
        <v>23</v>
      </c>
      <c r="C40" s="66">
        <f>(1+C34)^(C31/C28)-1</f>
        <v>0.15335327145636168</v>
      </c>
      <c r="D40" s="63"/>
    </row>
    <row r="41" spans="2:4" ht="18.75" x14ac:dyDescent="0.3">
      <c r="B41" s="58" t="s">
        <v>24</v>
      </c>
      <c r="C41" s="63">
        <f>LN(1+C40)</f>
        <v>0.14267358764200697</v>
      </c>
      <c r="D41" s="62" t="s">
        <v>25</v>
      </c>
    </row>
    <row r="42" spans="2:4" ht="18.75" x14ac:dyDescent="0.3">
      <c r="B42" s="58" t="s">
        <v>26</v>
      </c>
      <c r="C42" s="66">
        <f>(1+C40)^(1/2)-1</f>
        <v>7.3942862286612288E-2</v>
      </c>
      <c r="D42" s="63"/>
    </row>
    <row r="43" spans="2:4" ht="18.75" x14ac:dyDescent="0.3">
      <c r="B43" s="58" t="s">
        <v>24</v>
      </c>
      <c r="C43" s="63">
        <f>LN(1+C42)</f>
        <v>7.13367938210034E-2</v>
      </c>
      <c r="D43" s="62" t="s">
        <v>27</v>
      </c>
    </row>
    <row r="44" spans="2:4" ht="18.75" x14ac:dyDescent="0.3">
      <c r="B44" s="8"/>
      <c r="C44" s="8"/>
      <c r="D44" s="8"/>
    </row>
    <row r="45" spans="2:4" ht="18.75" x14ac:dyDescent="0.3">
      <c r="B45" s="8"/>
      <c r="C45" s="8"/>
      <c r="D45" s="8"/>
    </row>
    <row r="46" spans="2:4" ht="18.75" x14ac:dyDescent="0.3">
      <c r="B46" s="58" t="s">
        <v>29</v>
      </c>
      <c r="C46" s="63"/>
      <c r="D46" s="63"/>
    </row>
    <row r="47" spans="2:4" ht="18.75" x14ac:dyDescent="0.3">
      <c r="B47" s="58" t="s">
        <v>23</v>
      </c>
      <c r="C47" s="66">
        <f>C34*C31/C28</f>
        <v>0.14535572058981822</v>
      </c>
      <c r="D47" s="63"/>
    </row>
    <row r="48" spans="2:4" ht="18.75" x14ac:dyDescent="0.3">
      <c r="B48" s="58" t="s">
        <v>26</v>
      </c>
      <c r="C48" s="66">
        <f>C47/2</f>
        <v>7.2677860294909108E-2</v>
      </c>
      <c r="D48" s="63"/>
    </row>
  </sheetData>
  <phoneticPr fontId="9" type="noConversion"/>
  <pageMargins left="0.7" right="0.7" top="0.75" bottom="0.75" header="0.3" footer="0.3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30</vt:i4>
      </vt:variant>
    </vt:vector>
  </HeadingPairs>
  <TitlesOfParts>
    <vt:vector size="30" baseType="lpstr">
      <vt:lpstr>ESE1</vt:lpstr>
      <vt:lpstr>ESE2</vt:lpstr>
      <vt:lpstr>ESE3</vt:lpstr>
      <vt:lpstr>ESE4</vt:lpstr>
      <vt:lpstr>ESE5</vt:lpstr>
      <vt:lpstr>ESE6</vt:lpstr>
      <vt:lpstr>Es1</vt:lpstr>
      <vt:lpstr>Es2</vt:lpstr>
      <vt:lpstr>Es3</vt:lpstr>
      <vt:lpstr>Es4</vt:lpstr>
      <vt:lpstr>Es5</vt:lpstr>
      <vt:lpstr>Es6</vt:lpstr>
      <vt:lpstr>Es7</vt:lpstr>
      <vt:lpstr>Es8</vt:lpstr>
      <vt:lpstr>Es10</vt:lpstr>
      <vt:lpstr>Es11</vt:lpstr>
      <vt:lpstr>Es12</vt:lpstr>
      <vt:lpstr>Es13</vt:lpstr>
      <vt:lpstr>Es14</vt:lpstr>
      <vt:lpstr>Es15</vt:lpstr>
      <vt:lpstr>Es16</vt:lpstr>
      <vt:lpstr>Es17</vt:lpstr>
      <vt:lpstr>Es19</vt:lpstr>
      <vt:lpstr>Es20</vt:lpstr>
      <vt:lpstr>Es22</vt:lpstr>
      <vt:lpstr>Es23</vt:lpstr>
      <vt:lpstr>Es24</vt:lpstr>
      <vt:lpstr>Es27</vt:lpstr>
      <vt:lpstr>Es28</vt:lpstr>
      <vt:lpstr>Es29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KPMG</dc:creator>
  <cp:lastModifiedBy>Zelda Marino</cp:lastModifiedBy>
  <cp:lastPrinted>2019-09-30T11:55:19Z</cp:lastPrinted>
  <dcterms:created xsi:type="dcterms:W3CDTF">2011-09-24T10:42:39Z</dcterms:created>
  <dcterms:modified xsi:type="dcterms:W3CDTF">2021-09-23T12:39:56Z</dcterms:modified>
</cp:coreProperties>
</file>